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lonline-my.sharepoint.com/personal/tkujbus_molgroup_info/Documents/Titi fájljai/Statisztika - maszek/Kodolányi felkészítő/Stat2 felkészítő/"/>
    </mc:Choice>
  </mc:AlternateContent>
  <xr:revisionPtr revIDLastSave="449" documentId="8_{4BC4B43B-0311-492D-B702-FD0D8719E0B8}" xr6:coauthVersionLast="47" xr6:coauthVersionMax="47" xr10:uidLastSave="{737E9E9E-F4D0-491E-9EB5-A755F40E73B4}"/>
  <bookViews>
    <workbookView xWindow="28680" yWindow="-120" windowWidth="29040" windowHeight="15720" xr2:uid="{EAB4D47F-80F7-478F-B153-F0A304E053F6}"/>
  </bookViews>
  <sheets>
    <sheet name="1" sheetId="7" r:id="rId1"/>
    <sheet name="2" sheetId="3" r:id="rId2"/>
    <sheet name="3" sheetId="4" r:id="rId3"/>
    <sheet name="4" sheetId="6" r:id="rId4"/>
    <sheet name="5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4" i="8" l="1"/>
  <c r="J74" i="8"/>
  <c r="P70" i="8"/>
  <c r="J70" i="8"/>
  <c r="J72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33" i="8"/>
  <c r="E59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33" i="8"/>
  <c r="D54" i="8"/>
  <c r="D55" i="8"/>
  <c r="D56" i="8"/>
  <c r="D57" i="8"/>
  <c r="D58" i="8"/>
  <c r="D59" i="8"/>
  <c r="D45" i="8"/>
  <c r="D46" i="8"/>
  <c r="D47" i="8"/>
  <c r="D48" i="8"/>
  <c r="D49" i="8"/>
  <c r="D50" i="8"/>
  <c r="D51" i="8"/>
  <c r="D52" i="8"/>
  <c r="D53" i="8"/>
  <c r="D38" i="8"/>
  <c r="D39" i="8"/>
  <c r="D40" i="8"/>
  <c r="D41" i="8"/>
  <c r="D42" i="8"/>
  <c r="D43" i="8"/>
  <c r="D44" i="8"/>
  <c r="D34" i="8"/>
  <c r="D35" i="8"/>
  <c r="D36" i="8"/>
  <c r="D37" i="8"/>
  <c r="D33" i="8"/>
  <c r="W27" i="8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36" i="6"/>
  <c r="W27" i="6"/>
  <c r="J41" i="3" l="1"/>
  <c r="J42" i="3"/>
  <c r="E4" i="3"/>
  <c r="E5" i="3"/>
  <c r="E6" i="3"/>
  <c r="E11" i="3"/>
  <c r="E12" i="3"/>
  <c r="E13" i="3"/>
  <c r="E14" i="3"/>
  <c r="E19" i="3"/>
  <c r="E20" i="3"/>
  <c r="E21" i="3"/>
  <c r="E22" i="3"/>
  <c r="D4" i="3"/>
  <c r="D5" i="3"/>
  <c r="D6" i="3"/>
  <c r="D7" i="3"/>
  <c r="E7" i="3" s="1"/>
  <c r="D8" i="3"/>
  <c r="E8" i="3" s="1"/>
  <c r="D9" i="3"/>
  <c r="E9" i="3" s="1"/>
  <c r="D10" i="3"/>
  <c r="E10" i="3" s="1"/>
  <c r="D11" i="3"/>
  <c r="D12" i="3"/>
  <c r="D13" i="3"/>
  <c r="D14" i="3"/>
  <c r="D15" i="3"/>
  <c r="E15" i="3" s="1"/>
  <c r="D16" i="3"/>
  <c r="E16" i="3" s="1"/>
  <c r="D17" i="3"/>
  <c r="E17" i="3" s="1"/>
  <c r="D18" i="3"/>
  <c r="E18" i="3" s="1"/>
  <c r="D19" i="3"/>
  <c r="D20" i="3"/>
  <c r="D21" i="3"/>
  <c r="D22" i="3"/>
  <c r="D3" i="3"/>
  <c r="E3" i="3" s="1"/>
  <c r="E23" i="3" s="1"/>
  <c r="J43" i="3" s="1"/>
  <c r="J45" i="3" s="1"/>
  <c r="O39" i="3"/>
  <c r="O38" i="3"/>
  <c r="J11" i="3"/>
  <c r="J12" i="3" s="1"/>
  <c r="E39" i="7"/>
  <c r="E37" i="7"/>
  <c r="E36" i="7"/>
  <c r="D33" i="7"/>
  <c r="E30" i="7"/>
  <c r="E29" i="7"/>
  <c r="E28" i="7"/>
  <c r="E25" i="7"/>
  <c r="E13" i="7" l="1"/>
  <c r="E14" i="7"/>
  <c r="E15" i="7"/>
  <c r="E17" i="7" s="1"/>
  <c r="E16" i="7"/>
  <c r="E26" i="7"/>
  <c r="E27" i="7" l="1"/>
  <c r="E18" i="7"/>
  <c r="D21" i="7" s="1"/>
  <c r="E21" i="7" l="1"/>
  <c r="E33" i="7"/>
  <c r="K34" i="4" l="1"/>
  <c r="K35" i="4"/>
  <c r="G37" i="4"/>
</calcChain>
</file>

<file path=xl/sharedStrings.xml><?xml version="1.0" encoding="utf-8"?>
<sst xmlns="http://schemas.openxmlformats.org/spreadsheetml/2006/main" count="184" uniqueCount="100">
  <si>
    <t>c,</t>
  </si>
  <si>
    <t>Béta1</t>
  </si>
  <si>
    <t>Béta0</t>
  </si>
  <si>
    <t>a,</t>
  </si>
  <si>
    <t>Beta1</t>
  </si>
  <si>
    <t>Beta0</t>
  </si>
  <si>
    <t>b.</t>
  </si>
  <si>
    <t>a.</t>
  </si>
  <si>
    <t>y</t>
  </si>
  <si>
    <t>x</t>
  </si>
  <si>
    <t>m Ft</t>
  </si>
  <si>
    <t>becsült bevétel:</t>
  </si>
  <si>
    <t>=</t>
  </si>
  <si>
    <t>+</t>
  </si>
  <si>
    <t>*</t>
  </si>
  <si>
    <t>átlag y</t>
  </si>
  <si>
    <t>b,</t>
  </si>
  <si>
    <t>Bevétel, M Ft</t>
  </si>
  <si>
    <t>Reklám költség, E Ft</t>
  </si>
  <si>
    <t>nem függ az x aktuális értékétől</t>
  </si>
  <si>
    <t>Ha az aszú életkora 1%-kal több, akkor a trend által becsült ára átlagosan 2,81%-kal több</t>
  </si>
  <si>
    <t>rug = Béta1</t>
  </si>
  <si>
    <t>hatv.</t>
  </si>
  <si>
    <t>20 éves bor esetén ha az aszú életkora 1%-kal több, akkor a trend által becsült ára átlagosan 1,50%-kal több</t>
  </si>
  <si>
    <t>lin</t>
  </si>
  <si>
    <t>dollár</t>
  </si>
  <si>
    <t>becsült ár:</t>
  </si>
  <si>
    <t>R2 alapján a hatványkitevős regresszió illeszkedik jobban (magasabb érték)</t>
  </si>
  <si>
    <t>R négyzet</t>
  </si>
  <si>
    <t>Egy éves aszú becsült ára a 0,18 dollár</t>
  </si>
  <si>
    <t>Nem létezik -475,51 dollár árú aszú, emiatt csak technikai paraméter a Béta0</t>
  </si>
  <si>
    <t>^</t>
  </si>
  <si>
    <t>Eladási ár (dollár)</t>
  </si>
  <si>
    <t>Tokaji aszú életkora (év)</t>
  </si>
  <si>
    <t>Havi nettó kereset (HUF)</t>
  </si>
  <si>
    <t>Munkahelyen eltöltött idő (év)</t>
  </si>
  <si>
    <t>Oktatásban eltöltött idő (év)</t>
  </si>
  <si>
    <t>mintanagyság új</t>
  </si>
  <si>
    <t>delta új</t>
  </si>
  <si>
    <t>Max.</t>
  </si>
  <si>
    <t>Min.</t>
  </si>
  <si>
    <t>delta</t>
  </si>
  <si>
    <t>1-mintaarány</t>
  </si>
  <si>
    <t>k</t>
  </si>
  <si>
    <t>mintanagyság</t>
  </si>
  <si>
    <t>M Ft</t>
  </si>
  <si>
    <t>t szorzó</t>
  </si>
  <si>
    <t>mintaszórás</t>
  </si>
  <si>
    <t>mintaátlag</t>
  </si>
  <si>
    <t>Haszon (M Ft)</t>
  </si>
  <si>
    <t>a jobban közelítő trend az, ahol magasabb az R2, ez a lineáris</t>
  </si>
  <si>
    <t>évente átlagban 8,91%-kal nőtt a becsült élelmiszerkiadás</t>
  </si>
  <si>
    <t>évente átlagban 17335 Ft-tal nőtt a becsült élelmiszerkiadás</t>
  </si>
  <si>
    <t>t=0 időszakban (1988) az átlag élelmiszerkiadás értéke 79201 Ft volt becslésünk szerint</t>
  </si>
  <si>
    <t>t=0 időszakban (1988) az átlag élelmiszerkiadás értéke 39585 Ft volt becslésünk szerint</t>
  </si>
  <si>
    <t>t</t>
  </si>
  <si>
    <t>Átlagos élelmiszerkidás (Ft)</t>
  </si>
  <si>
    <t>Év</t>
  </si>
  <si>
    <t>standard hiba</t>
  </si>
  <si>
    <t>mintaarány</t>
  </si>
  <si>
    <t>r</t>
  </si>
  <si>
    <t>r2</t>
  </si>
  <si>
    <t>Szinte független a két ismérv egymástól (nagyon gyenge, egyirányú a kapcsolat)</t>
  </si>
  <si>
    <t>A reklámköltés 0,24%-ban magyarázza a bevétel alakulását</t>
  </si>
  <si>
    <t>Ha a cég egyáltalán nem költ reklámra, akkor a becsült bevétele 1522,2 millió Ft</t>
  </si>
  <si>
    <t>Ha a cég reklámköltése ezer forinttal nő, akkor a becsült bevétele átlagosan 0,27 millió Ft-tal nő.</t>
  </si>
  <si>
    <t>becsült y</t>
  </si>
  <si>
    <t>ha</t>
  </si>
  <si>
    <t>(y - becsült y)^2</t>
  </si>
  <si>
    <t>abszolút hiba</t>
  </si>
  <si>
    <t>n</t>
  </si>
  <si>
    <t>relatív hiba</t>
  </si>
  <si>
    <t>A cégek valós és becsült bevételei átlagosan 67,60 M ft-tal, 4,41%-kal térnek el egymástól.</t>
  </si>
  <si>
    <t>Mivel V &lt; 10%, a regresszió függvény jó közelítést ad</t>
  </si>
  <si>
    <t>átlag</t>
  </si>
  <si>
    <t>Ha az aszú életkora 1 évvel több, akkor a becsült ára átlagosan 71,26 dollárral több</t>
  </si>
  <si>
    <t>Az aszú életkorának ismerete 78,93%-ban magyarázza az ár alakulását</t>
  </si>
  <si>
    <t>Az aszú életkorának ismerete 97,3%-ban magyarázza az ár alakulását</t>
  </si>
  <si>
    <t>Nem létezik -483027 Ft-os kereset, emiatt csak technikai paraméter a Béta0</t>
  </si>
  <si>
    <t>Ha az oktatásban eltöltött idő 1 évvel több, akkor a becsült havi kereset átlagosan 47805 Ft-tal több</t>
  </si>
  <si>
    <t>Az oktatásban eltöltött évek száma 18,54%-ban magyarázza a keresetek alakulását</t>
  </si>
  <si>
    <t>Ha az oktatásban eltöltött idő 1 évvel több, akkor a becsült havi kereset átlagosan 16,04%-kal több</t>
  </si>
  <si>
    <t>Az oktatásban eltöltött évek száma 27,79%-ban magyarázza a keresetek alakulását</t>
  </si>
  <si>
    <t>Pályakezdő (0 évet tanító) tanár havi becsült keresete 14325 Ft (nem életszerű, mondjuk inkább itt is azt, hogy csak technikai paraméter a Béta0)</t>
  </si>
  <si>
    <t>a,-b,</t>
  </si>
  <si>
    <t>R2 alapján az expnenciális regresszió illeszkedik jobban (magasabb érték)</t>
  </si>
  <si>
    <t>R2</t>
  </si>
  <si>
    <t>Az időbeli változás 97,46%-ban magyarázza a kiadások alakulását</t>
  </si>
  <si>
    <t>Az időbeli változás 94,78%-ban magyarázza a kiadások alakulását</t>
  </si>
  <si>
    <t>LINEÁRIS</t>
  </si>
  <si>
    <t>EXPONENCIÁLIS</t>
  </si>
  <si>
    <t>(y - becsült y lin)^2</t>
  </si>
  <si>
    <t>y becs lin</t>
  </si>
  <si>
    <t>y becs exp</t>
  </si>
  <si>
    <t>(y - becsült y exp)^2</t>
  </si>
  <si>
    <t>Tehát a lineáris függvényünk nem jól közelít.</t>
  </si>
  <si>
    <t>A valós és becsült kiadások átlagosan 17823,04 Ft-tal, 7,74%-kal térnek el egymástól.</t>
  </si>
  <si>
    <t>A valós és becsült kiadások átlagosan 28877,88 Ft-tal, 12,54%-kal térnek el egymástól.</t>
  </si>
  <si>
    <t>V &lt; 10%, a regresszió függvény jó közelítést ad</t>
  </si>
  <si>
    <t>V &gt; 10%, a regresszió függvény nem ad jó közelítést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</si>
</sst>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\ _F_t_-;\-* #,##0\ _F_t_-;_-* &quot;-&quot;??\ _F_t_-;_-@_-"/>
    <numFmt numFmtId="165" formatCode="0.0%"/>
    <numFmt numFmtId="166" formatCode="[$$-409]#,##0;\([$$-409]#,##0\)"/>
    <numFmt numFmtId="168" formatCode="0.0000"/>
    <numFmt numFmtId="171" formatCode="_-* #,##0_-;\-* #,##0_-;_-* &quot;-&quot;??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222222"/>
      <name val="Inherit"/>
    </font>
    <font>
      <b/>
      <sz val="9"/>
      <color rgb="FF222222"/>
      <name val="Inherit"/>
      <charset val="238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33">
    <xf numFmtId="0" fontId="0" fillId="0" borderId="0" xfId="0"/>
    <xf numFmtId="0" fontId="0" fillId="0" borderId="2" xfId="0" applyBorder="1" applyAlignment="1">
      <alignment horizontal="center"/>
    </xf>
    <xf numFmtId="0" fontId="3" fillId="0" borderId="0" xfId="0" applyFont="1"/>
    <xf numFmtId="43" fontId="3" fillId="0" borderId="0" xfId="1" applyFont="1"/>
    <xf numFmtId="10" fontId="3" fillId="0" borderId="0" xfId="2" applyNumberFormat="1" applyFont="1"/>
    <xf numFmtId="0" fontId="3" fillId="2" borderId="2" xfId="0" applyFont="1" applyFill="1" applyBorder="1"/>
    <xf numFmtId="0" fontId="0" fillId="0" borderId="2" xfId="0" applyBorder="1"/>
    <xf numFmtId="0" fontId="4" fillId="2" borderId="2" xfId="3" applyFont="1" applyFill="1" applyBorder="1" applyAlignment="1">
      <alignment horizontal="center"/>
    </xf>
    <xf numFmtId="10" fontId="0" fillId="0" borderId="0" xfId="2" applyNumberFormat="1" applyFont="1"/>
    <xf numFmtId="43" fontId="0" fillId="0" borderId="0" xfId="1" applyFont="1"/>
    <xf numFmtId="10" fontId="0" fillId="0" borderId="0" xfId="0" applyNumberFormat="1"/>
    <xf numFmtId="0" fontId="5" fillId="3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wrapText="1"/>
    </xf>
    <xf numFmtId="164" fontId="3" fillId="0" borderId="0" xfId="0" applyNumberFormat="1" applyFont="1"/>
    <xf numFmtId="165" fontId="0" fillId="0" borderId="0" xfId="2" applyNumberFormat="1" applyFont="1"/>
    <xf numFmtId="2" fontId="0" fillId="0" borderId="0" xfId="0" applyNumberFormat="1"/>
    <xf numFmtId="0" fontId="4" fillId="2" borderId="2" xfId="3" applyFont="1" applyFill="1" applyBorder="1"/>
    <xf numFmtId="1" fontId="0" fillId="0" borderId="0" xfId="0" applyNumberFormat="1"/>
    <xf numFmtId="0" fontId="8" fillId="0" borderId="0" xfId="0" applyFont="1"/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/>
    <xf numFmtId="166" fontId="4" fillId="2" borderId="2" xfId="3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3" fillId="0" borderId="0" xfId="0" applyNumberFormat="1" applyFont="1"/>
    <xf numFmtId="168" fontId="0" fillId="0" borderId="0" xfId="0" applyNumberFormat="1"/>
    <xf numFmtId="0" fontId="0" fillId="4" borderId="3" xfId="0" applyFill="1" applyBorder="1"/>
    <xf numFmtId="0" fontId="0" fillId="4" borderId="0" xfId="0" applyFill="1"/>
    <xf numFmtId="171" fontId="0" fillId="4" borderId="0" xfId="1" applyNumberFormat="1" applyFont="1" applyFill="1"/>
    <xf numFmtId="171" fontId="8" fillId="0" borderId="2" xfId="1" applyNumberFormat="1" applyFont="1" applyBorder="1"/>
    <xf numFmtId="0" fontId="0" fillId="0" borderId="0" xfId="0" applyBorder="1"/>
    <xf numFmtId="43" fontId="3" fillId="0" borderId="0" xfId="1" applyNumberFormat="1" applyFont="1"/>
  </cellXfs>
  <cellStyles count="4">
    <cellStyle name="Címsor 3" xfId="3" builtinId="18"/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Cégek reklámköltsége (x) és bevétele</a:t>
            </a:r>
            <a:r>
              <a:rPr lang="hu-HU" baseline="0"/>
              <a:t> (y)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Bevétel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149105118697558"/>
                  <c:y val="-0.238305263925342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'2'!$B$3:$B$22</c:f>
              <c:numCache>
                <c:formatCode>General</c:formatCode>
                <c:ptCount val="20"/>
                <c:pt idx="0">
                  <c:v>59</c:v>
                </c:pt>
                <c:pt idx="1">
                  <c:v>33</c:v>
                </c:pt>
                <c:pt idx="2">
                  <c:v>47</c:v>
                </c:pt>
                <c:pt idx="3">
                  <c:v>37</c:v>
                </c:pt>
                <c:pt idx="4">
                  <c:v>40</c:v>
                </c:pt>
                <c:pt idx="5">
                  <c:v>43</c:v>
                </c:pt>
                <c:pt idx="6">
                  <c:v>58</c:v>
                </c:pt>
                <c:pt idx="7">
                  <c:v>40</c:v>
                </c:pt>
                <c:pt idx="8">
                  <c:v>27</c:v>
                </c:pt>
                <c:pt idx="9">
                  <c:v>44</c:v>
                </c:pt>
                <c:pt idx="10">
                  <c:v>56</c:v>
                </c:pt>
                <c:pt idx="11">
                  <c:v>62</c:v>
                </c:pt>
                <c:pt idx="12">
                  <c:v>32</c:v>
                </c:pt>
                <c:pt idx="13">
                  <c:v>43</c:v>
                </c:pt>
                <c:pt idx="14">
                  <c:v>42</c:v>
                </c:pt>
                <c:pt idx="15">
                  <c:v>49</c:v>
                </c:pt>
                <c:pt idx="16">
                  <c:v>30</c:v>
                </c:pt>
                <c:pt idx="17">
                  <c:v>37</c:v>
                </c:pt>
                <c:pt idx="18">
                  <c:v>40</c:v>
                </c:pt>
                <c:pt idx="19">
                  <c:v>72</c:v>
                </c:pt>
              </c:numCache>
            </c:numRef>
          </c:xVal>
          <c:yVal>
            <c:numRef>
              <c:f>'2'!$C$3:$C$22</c:f>
              <c:numCache>
                <c:formatCode>General</c:formatCode>
                <c:ptCount val="20"/>
                <c:pt idx="0">
                  <c:v>1426</c:v>
                </c:pt>
                <c:pt idx="1">
                  <c:v>1428</c:v>
                </c:pt>
                <c:pt idx="2">
                  <c:v>1461</c:v>
                </c:pt>
                <c:pt idx="3">
                  <c:v>1464</c:v>
                </c:pt>
                <c:pt idx="4">
                  <c:v>1485</c:v>
                </c:pt>
                <c:pt idx="5">
                  <c:v>1500</c:v>
                </c:pt>
                <c:pt idx="6">
                  <c:v>1501</c:v>
                </c:pt>
                <c:pt idx="7">
                  <c:v>1509</c:v>
                </c:pt>
                <c:pt idx="8">
                  <c:v>1529</c:v>
                </c:pt>
                <c:pt idx="9">
                  <c:v>1532</c:v>
                </c:pt>
                <c:pt idx="10">
                  <c:v>1536</c:v>
                </c:pt>
                <c:pt idx="11">
                  <c:v>1538</c:v>
                </c:pt>
                <c:pt idx="12">
                  <c:v>1546</c:v>
                </c:pt>
                <c:pt idx="13">
                  <c:v>1549</c:v>
                </c:pt>
                <c:pt idx="14">
                  <c:v>1553</c:v>
                </c:pt>
                <c:pt idx="15">
                  <c:v>1606</c:v>
                </c:pt>
                <c:pt idx="16">
                  <c:v>1621</c:v>
                </c:pt>
                <c:pt idx="17">
                  <c:v>1626</c:v>
                </c:pt>
                <c:pt idx="18">
                  <c:v>1638</c:v>
                </c:pt>
                <c:pt idx="19">
                  <c:v>1640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FD-4ED9-A79A-D416972A3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7613168"/>
        <c:axId val="526942912"/>
      </c:scatterChart>
      <c:valAx>
        <c:axId val="144761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Reklámköltség 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6942912"/>
        <c:crosses val="autoZero"/>
        <c:crossBetween val="midCat"/>
      </c:valAx>
      <c:valAx>
        <c:axId val="5269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Bevétel (y)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44761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Eladási ár az aszú életkorának függvényében (lin)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eladási árak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628586907630387"/>
                  <c:y val="-0.138898361842700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'3'!$B$3:$B$30</c:f>
              <c:numCache>
                <c:formatCode>General</c:formatCode>
                <c:ptCount val="28"/>
                <c:pt idx="0">
                  <c:v>25</c:v>
                </c:pt>
                <c:pt idx="1">
                  <c:v>22</c:v>
                </c:pt>
                <c:pt idx="2">
                  <c:v>20</c:v>
                </c:pt>
                <c:pt idx="3">
                  <c:v>19</c:v>
                </c:pt>
                <c:pt idx="4">
                  <c:v>17</c:v>
                </c:pt>
                <c:pt idx="5">
                  <c:v>17</c:v>
                </c:pt>
                <c:pt idx="6">
                  <c:v>16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</c:numCache>
            </c:numRef>
          </c:xVal>
          <c:yVal>
            <c:numRef>
              <c:f>'3'!$C$3:$C$30</c:f>
              <c:numCache>
                <c:formatCode>General</c:formatCode>
                <c:ptCount val="28"/>
                <c:pt idx="0">
                  <c:v>2100</c:v>
                </c:pt>
                <c:pt idx="1">
                  <c:v>1325</c:v>
                </c:pt>
                <c:pt idx="2">
                  <c:v>800</c:v>
                </c:pt>
                <c:pt idx="3">
                  <c:v>700</c:v>
                </c:pt>
                <c:pt idx="4">
                  <c:v>550</c:v>
                </c:pt>
                <c:pt idx="5">
                  <c:v>460</c:v>
                </c:pt>
                <c:pt idx="6">
                  <c:v>400</c:v>
                </c:pt>
                <c:pt idx="7">
                  <c:v>220</c:v>
                </c:pt>
                <c:pt idx="8">
                  <c:v>170</c:v>
                </c:pt>
                <c:pt idx="9">
                  <c:v>100</c:v>
                </c:pt>
                <c:pt idx="10">
                  <c:v>125</c:v>
                </c:pt>
                <c:pt idx="11">
                  <c:v>89</c:v>
                </c:pt>
                <c:pt idx="12">
                  <c:v>79</c:v>
                </c:pt>
                <c:pt idx="13">
                  <c:v>70</c:v>
                </c:pt>
                <c:pt idx="14">
                  <c:v>59</c:v>
                </c:pt>
                <c:pt idx="15">
                  <c:v>55</c:v>
                </c:pt>
                <c:pt idx="16">
                  <c:v>51</c:v>
                </c:pt>
                <c:pt idx="17">
                  <c:v>60</c:v>
                </c:pt>
                <c:pt idx="18">
                  <c:v>39</c:v>
                </c:pt>
                <c:pt idx="19">
                  <c:v>34</c:v>
                </c:pt>
                <c:pt idx="20">
                  <c:v>39</c:v>
                </c:pt>
                <c:pt idx="21">
                  <c:v>25</c:v>
                </c:pt>
                <c:pt idx="22">
                  <c:v>18</c:v>
                </c:pt>
                <c:pt idx="23">
                  <c:v>24</c:v>
                </c:pt>
                <c:pt idx="24">
                  <c:v>8</c:v>
                </c:pt>
                <c:pt idx="25">
                  <c:v>16</c:v>
                </c:pt>
                <c:pt idx="26">
                  <c:v>11</c:v>
                </c:pt>
                <c:pt idx="2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34-4352-8218-C0248046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284560"/>
        <c:axId val="2141284144"/>
      </c:scatterChart>
      <c:valAx>
        <c:axId val="214128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életkor (év)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41284144"/>
        <c:crosses val="autoZero"/>
        <c:crossBetween val="midCat"/>
      </c:valAx>
      <c:valAx>
        <c:axId val="214128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ár (USD)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41284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Eladási ár az aszú életkorának függvényében (hatv)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eladási árak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6922326238455575"/>
                  <c:y val="-0.114549733007511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'3'!$B$3:$B$30</c:f>
              <c:numCache>
                <c:formatCode>General</c:formatCode>
                <c:ptCount val="28"/>
                <c:pt idx="0">
                  <c:v>25</c:v>
                </c:pt>
                <c:pt idx="1">
                  <c:v>22</c:v>
                </c:pt>
                <c:pt idx="2">
                  <c:v>20</c:v>
                </c:pt>
                <c:pt idx="3">
                  <c:v>19</c:v>
                </c:pt>
                <c:pt idx="4">
                  <c:v>17</c:v>
                </c:pt>
                <c:pt idx="5">
                  <c:v>17</c:v>
                </c:pt>
                <c:pt idx="6">
                  <c:v>16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</c:numCache>
            </c:numRef>
          </c:xVal>
          <c:yVal>
            <c:numRef>
              <c:f>'3'!$C$3:$C$30</c:f>
              <c:numCache>
                <c:formatCode>General</c:formatCode>
                <c:ptCount val="28"/>
                <c:pt idx="0">
                  <c:v>2100</c:v>
                </c:pt>
                <c:pt idx="1">
                  <c:v>1325</c:v>
                </c:pt>
                <c:pt idx="2">
                  <c:v>800</c:v>
                </c:pt>
                <c:pt idx="3">
                  <c:v>700</c:v>
                </c:pt>
                <c:pt idx="4">
                  <c:v>550</c:v>
                </c:pt>
                <c:pt idx="5">
                  <c:v>460</c:v>
                </c:pt>
                <c:pt idx="6">
                  <c:v>400</c:v>
                </c:pt>
                <c:pt idx="7">
                  <c:v>220</c:v>
                </c:pt>
                <c:pt idx="8">
                  <c:v>170</c:v>
                </c:pt>
                <c:pt idx="9">
                  <c:v>100</c:v>
                </c:pt>
                <c:pt idx="10">
                  <c:v>125</c:v>
                </c:pt>
                <c:pt idx="11">
                  <c:v>89</c:v>
                </c:pt>
                <c:pt idx="12">
                  <c:v>79</c:v>
                </c:pt>
                <c:pt idx="13">
                  <c:v>70</c:v>
                </c:pt>
                <c:pt idx="14">
                  <c:v>59</c:v>
                </c:pt>
                <c:pt idx="15">
                  <c:v>55</c:v>
                </c:pt>
                <c:pt idx="16">
                  <c:v>51</c:v>
                </c:pt>
                <c:pt idx="17">
                  <c:v>60</c:v>
                </c:pt>
                <c:pt idx="18">
                  <c:v>39</c:v>
                </c:pt>
                <c:pt idx="19">
                  <c:v>34</c:v>
                </c:pt>
                <c:pt idx="20">
                  <c:v>39</c:v>
                </c:pt>
                <c:pt idx="21">
                  <c:v>25</c:v>
                </c:pt>
                <c:pt idx="22">
                  <c:v>18</c:v>
                </c:pt>
                <c:pt idx="23">
                  <c:v>24</c:v>
                </c:pt>
                <c:pt idx="24">
                  <c:v>8</c:v>
                </c:pt>
                <c:pt idx="25">
                  <c:v>16</c:v>
                </c:pt>
                <c:pt idx="26">
                  <c:v>11</c:v>
                </c:pt>
                <c:pt idx="2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31-431B-891A-864FCD6A1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284560"/>
        <c:axId val="2141284144"/>
      </c:scatterChart>
      <c:valAx>
        <c:axId val="214128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életkor (év)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41284144"/>
        <c:crosses val="autoZero"/>
        <c:crossBetween val="midCat"/>
      </c:valAx>
      <c:valAx>
        <c:axId val="214128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Ár (USD)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41284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havi nettó kereset</a:t>
            </a:r>
            <a:r>
              <a:rPr lang="hu-HU" baseline="0"/>
              <a:t> az oktatásban eltöltött idő függvényében (lin)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kereset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8090638670166226"/>
                  <c:y val="-0.2829538495188101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'4'!$B$36:$B$65</c:f>
              <c:numCache>
                <c:formatCode>General</c:formatCode>
                <c:ptCount val="30"/>
                <c:pt idx="0">
                  <c:v>19</c:v>
                </c:pt>
                <c:pt idx="1">
                  <c:v>12</c:v>
                </c:pt>
                <c:pt idx="2">
                  <c:v>12</c:v>
                </c:pt>
                <c:pt idx="3">
                  <c:v>16</c:v>
                </c:pt>
                <c:pt idx="4">
                  <c:v>19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16</c:v>
                </c:pt>
                <c:pt idx="17">
                  <c:v>8</c:v>
                </c:pt>
                <c:pt idx="18">
                  <c:v>11</c:v>
                </c:pt>
                <c:pt idx="19">
                  <c:v>17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12</c:v>
                </c:pt>
                <c:pt idx="24">
                  <c:v>13</c:v>
                </c:pt>
                <c:pt idx="25">
                  <c:v>10</c:v>
                </c:pt>
                <c:pt idx="26">
                  <c:v>8</c:v>
                </c:pt>
                <c:pt idx="27">
                  <c:v>17</c:v>
                </c:pt>
                <c:pt idx="28">
                  <c:v>13</c:v>
                </c:pt>
                <c:pt idx="29">
                  <c:v>15</c:v>
                </c:pt>
              </c:numCache>
            </c:numRef>
          </c:xVal>
          <c:yVal>
            <c:numRef>
              <c:f>'4'!$C$36:$C$65</c:f>
              <c:numCache>
                <c:formatCode>General</c:formatCode>
                <c:ptCount val="30"/>
                <c:pt idx="0">
                  <c:v>167500</c:v>
                </c:pt>
                <c:pt idx="1">
                  <c:v>92260</c:v>
                </c:pt>
                <c:pt idx="2">
                  <c:v>93700</c:v>
                </c:pt>
                <c:pt idx="3">
                  <c:v>172200</c:v>
                </c:pt>
                <c:pt idx="4">
                  <c:v>1888600</c:v>
                </c:pt>
                <c:pt idx="5">
                  <c:v>59900</c:v>
                </c:pt>
                <c:pt idx="6">
                  <c:v>101500</c:v>
                </c:pt>
                <c:pt idx="7">
                  <c:v>96000</c:v>
                </c:pt>
                <c:pt idx="8">
                  <c:v>81380</c:v>
                </c:pt>
                <c:pt idx="9">
                  <c:v>75400</c:v>
                </c:pt>
                <c:pt idx="10">
                  <c:v>82300</c:v>
                </c:pt>
                <c:pt idx="11">
                  <c:v>117000</c:v>
                </c:pt>
                <c:pt idx="12">
                  <c:v>160020</c:v>
                </c:pt>
                <c:pt idx="13">
                  <c:v>73150</c:v>
                </c:pt>
                <c:pt idx="14">
                  <c:v>83700</c:v>
                </c:pt>
                <c:pt idx="15">
                  <c:v>88800</c:v>
                </c:pt>
                <c:pt idx="16">
                  <c:v>185000</c:v>
                </c:pt>
                <c:pt idx="17">
                  <c:v>52100</c:v>
                </c:pt>
                <c:pt idx="18">
                  <c:v>78000</c:v>
                </c:pt>
                <c:pt idx="19">
                  <c:v>121000</c:v>
                </c:pt>
                <c:pt idx="20">
                  <c:v>77900</c:v>
                </c:pt>
                <c:pt idx="21">
                  <c:v>77900</c:v>
                </c:pt>
                <c:pt idx="22">
                  <c:v>192000</c:v>
                </c:pt>
                <c:pt idx="23">
                  <c:v>86300</c:v>
                </c:pt>
                <c:pt idx="24">
                  <c:v>89000</c:v>
                </c:pt>
                <c:pt idx="25">
                  <c:v>63500</c:v>
                </c:pt>
                <c:pt idx="26">
                  <c:v>68500</c:v>
                </c:pt>
                <c:pt idx="27">
                  <c:v>146700</c:v>
                </c:pt>
                <c:pt idx="28">
                  <c:v>97600</c:v>
                </c:pt>
                <c:pt idx="29">
                  <c:v>101250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4D-41D4-A0BC-844F1ABC4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019776"/>
        <c:axId val="95280976"/>
      </c:scatterChart>
      <c:valAx>
        <c:axId val="759019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Oktatásban eltöltött idő (év)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5280976"/>
        <c:crosses val="autoZero"/>
        <c:crossBetween val="midCat"/>
      </c:valAx>
      <c:valAx>
        <c:axId val="9528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havi nettó kereset (Ft)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9019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havi nettó kereset</a:t>
            </a:r>
            <a:r>
              <a:rPr lang="hu-HU" baseline="0"/>
              <a:t> az oktatásban eltöltött idő függvényében (exp)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kereset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17943066491688539"/>
                  <c:y val="-0.318945392242636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'4'!$B$36:$B$65</c:f>
              <c:numCache>
                <c:formatCode>General</c:formatCode>
                <c:ptCount val="30"/>
                <c:pt idx="0">
                  <c:v>19</c:v>
                </c:pt>
                <c:pt idx="1">
                  <c:v>12</c:v>
                </c:pt>
                <c:pt idx="2">
                  <c:v>12</c:v>
                </c:pt>
                <c:pt idx="3">
                  <c:v>16</c:v>
                </c:pt>
                <c:pt idx="4">
                  <c:v>19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16</c:v>
                </c:pt>
                <c:pt idx="17">
                  <c:v>8</c:v>
                </c:pt>
                <c:pt idx="18">
                  <c:v>11</c:v>
                </c:pt>
                <c:pt idx="19">
                  <c:v>17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12</c:v>
                </c:pt>
                <c:pt idx="24">
                  <c:v>13</c:v>
                </c:pt>
                <c:pt idx="25">
                  <c:v>10</c:v>
                </c:pt>
                <c:pt idx="26">
                  <c:v>8</c:v>
                </c:pt>
                <c:pt idx="27">
                  <c:v>17</c:v>
                </c:pt>
                <c:pt idx="28">
                  <c:v>13</c:v>
                </c:pt>
                <c:pt idx="29">
                  <c:v>15</c:v>
                </c:pt>
              </c:numCache>
            </c:numRef>
          </c:xVal>
          <c:yVal>
            <c:numRef>
              <c:f>'4'!$C$36:$C$65</c:f>
              <c:numCache>
                <c:formatCode>General</c:formatCode>
                <c:ptCount val="30"/>
                <c:pt idx="0">
                  <c:v>167500</c:v>
                </c:pt>
                <c:pt idx="1">
                  <c:v>92260</c:v>
                </c:pt>
                <c:pt idx="2">
                  <c:v>93700</c:v>
                </c:pt>
                <c:pt idx="3">
                  <c:v>172200</c:v>
                </c:pt>
                <c:pt idx="4">
                  <c:v>1888600</c:v>
                </c:pt>
                <c:pt idx="5">
                  <c:v>59900</c:v>
                </c:pt>
                <c:pt idx="6">
                  <c:v>101500</c:v>
                </c:pt>
                <c:pt idx="7">
                  <c:v>96000</c:v>
                </c:pt>
                <c:pt idx="8">
                  <c:v>81380</c:v>
                </c:pt>
                <c:pt idx="9">
                  <c:v>75400</c:v>
                </c:pt>
                <c:pt idx="10">
                  <c:v>82300</c:v>
                </c:pt>
                <c:pt idx="11">
                  <c:v>117000</c:v>
                </c:pt>
                <c:pt idx="12">
                  <c:v>160020</c:v>
                </c:pt>
                <c:pt idx="13">
                  <c:v>73150</c:v>
                </c:pt>
                <c:pt idx="14">
                  <c:v>83700</c:v>
                </c:pt>
                <c:pt idx="15">
                  <c:v>88800</c:v>
                </c:pt>
                <c:pt idx="16">
                  <c:v>185000</c:v>
                </c:pt>
                <c:pt idx="17">
                  <c:v>52100</c:v>
                </c:pt>
                <c:pt idx="18">
                  <c:v>78000</c:v>
                </c:pt>
                <c:pt idx="19">
                  <c:v>121000</c:v>
                </c:pt>
                <c:pt idx="20">
                  <c:v>77900</c:v>
                </c:pt>
                <c:pt idx="21">
                  <c:v>77900</c:v>
                </c:pt>
                <c:pt idx="22">
                  <c:v>192000</c:v>
                </c:pt>
                <c:pt idx="23">
                  <c:v>86300</c:v>
                </c:pt>
                <c:pt idx="24">
                  <c:v>89000</c:v>
                </c:pt>
                <c:pt idx="25">
                  <c:v>63500</c:v>
                </c:pt>
                <c:pt idx="26">
                  <c:v>68500</c:v>
                </c:pt>
                <c:pt idx="27">
                  <c:v>146700</c:v>
                </c:pt>
                <c:pt idx="28">
                  <c:v>97600</c:v>
                </c:pt>
                <c:pt idx="29">
                  <c:v>101250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15-41E8-BED6-A423F0FAA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019776"/>
        <c:axId val="95280976"/>
      </c:scatterChart>
      <c:valAx>
        <c:axId val="759019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Oktatásban eltöltött idő (év)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5280976"/>
        <c:crosses val="autoZero"/>
        <c:crossBetween val="midCat"/>
      </c:valAx>
      <c:valAx>
        <c:axId val="9528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havi nettó kereset (Ft)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9019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valós és becsült (exp) havi nettó keresetek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valós keresetek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'4'!$B$36:$B$67</c:f>
              <c:numCache>
                <c:formatCode>General</c:formatCode>
                <c:ptCount val="32"/>
                <c:pt idx="0">
                  <c:v>19</c:v>
                </c:pt>
                <c:pt idx="1">
                  <c:v>12</c:v>
                </c:pt>
                <c:pt idx="2">
                  <c:v>12</c:v>
                </c:pt>
                <c:pt idx="3">
                  <c:v>16</c:v>
                </c:pt>
                <c:pt idx="4">
                  <c:v>19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16</c:v>
                </c:pt>
                <c:pt idx="17">
                  <c:v>8</c:v>
                </c:pt>
                <c:pt idx="18">
                  <c:v>11</c:v>
                </c:pt>
                <c:pt idx="19">
                  <c:v>17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12</c:v>
                </c:pt>
                <c:pt idx="24">
                  <c:v>13</c:v>
                </c:pt>
                <c:pt idx="25">
                  <c:v>10</c:v>
                </c:pt>
                <c:pt idx="26">
                  <c:v>8</c:v>
                </c:pt>
                <c:pt idx="27">
                  <c:v>17</c:v>
                </c:pt>
                <c:pt idx="28">
                  <c:v>13</c:v>
                </c:pt>
                <c:pt idx="29">
                  <c:v>15</c:v>
                </c:pt>
                <c:pt idx="30">
                  <c:v>20</c:v>
                </c:pt>
                <c:pt idx="31">
                  <c:v>25</c:v>
                </c:pt>
              </c:numCache>
            </c:numRef>
          </c:xVal>
          <c:yVal>
            <c:numRef>
              <c:f>'4'!$C$36:$C$67</c:f>
              <c:numCache>
                <c:formatCode>General</c:formatCode>
                <c:ptCount val="32"/>
                <c:pt idx="0">
                  <c:v>167500</c:v>
                </c:pt>
                <c:pt idx="1">
                  <c:v>92260</c:v>
                </c:pt>
                <c:pt idx="2">
                  <c:v>93700</c:v>
                </c:pt>
                <c:pt idx="3">
                  <c:v>172200</c:v>
                </c:pt>
                <c:pt idx="4">
                  <c:v>1888600</c:v>
                </c:pt>
                <c:pt idx="5">
                  <c:v>59900</c:v>
                </c:pt>
                <c:pt idx="6">
                  <c:v>101500</c:v>
                </c:pt>
                <c:pt idx="7">
                  <c:v>96000</c:v>
                </c:pt>
                <c:pt idx="8">
                  <c:v>81380</c:v>
                </c:pt>
                <c:pt idx="9">
                  <c:v>75400</c:v>
                </c:pt>
                <c:pt idx="10">
                  <c:v>82300</c:v>
                </c:pt>
                <c:pt idx="11">
                  <c:v>117000</c:v>
                </c:pt>
                <c:pt idx="12">
                  <c:v>160020</c:v>
                </c:pt>
                <c:pt idx="13">
                  <c:v>73150</c:v>
                </c:pt>
                <c:pt idx="14">
                  <c:v>83700</c:v>
                </c:pt>
                <c:pt idx="15">
                  <c:v>88800</c:v>
                </c:pt>
                <c:pt idx="16">
                  <c:v>185000</c:v>
                </c:pt>
                <c:pt idx="17">
                  <c:v>52100</c:v>
                </c:pt>
                <c:pt idx="18">
                  <c:v>78000</c:v>
                </c:pt>
                <c:pt idx="19">
                  <c:v>121000</c:v>
                </c:pt>
                <c:pt idx="20">
                  <c:v>77900</c:v>
                </c:pt>
                <c:pt idx="21">
                  <c:v>77900</c:v>
                </c:pt>
                <c:pt idx="22">
                  <c:v>192000</c:v>
                </c:pt>
                <c:pt idx="23">
                  <c:v>86300</c:v>
                </c:pt>
                <c:pt idx="24">
                  <c:v>89000</c:v>
                </c:pt>
                <c:pt idx="25">
                  <c:v>63500</c:v>
                </c:pt>
                <c:pt idx="26">
                  <c:v>68500</c:v>
                </c:pt>
                <c:pt idx="27">
                  <c:v>146700</c:v>
                </c:pt>
                <c:pt idx="28">
                  <c:v>97600</c:v>
                </c:pt>
                <c:pt idx="29">
                  <c:v>101250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FB-4C47-B46D-9A406A5B158F}"/>
            </c:ext>
          </c:extLst>
        </c:ser>
        <c:ser>
          <c:idx val="1"/>
          <c:order val="1"/>
          <c:tx>
            <c:v>becsült keresetek (exp)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'4'!$B$36:$B$67</c:f>
              <c:numCache>
                <c:formatCode>General</c:formatCode>
                <c:ptCount val="32"/>
                <c:pt idx="0">
                  <c:v>19</c:v>
                </c:pt>
                <c:pt idx="1">
                  <c:v>12</c:v>
                </c:pt>
                <c:pt idx="2">
                  <c:v>12</c:v>
                </c:pt>
                <c:pt idx="3">
                  <c:v>16</c:v>
                </c:pt>
                <c:pt idx="4">
                  <c:v>19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16</c:v>
                </c:pt>
                <c:pt idx="17">
                  <c:v>8</c:v>
                </c:pt>
                <c:pt idx="18">
                  <c:v>11</c:v>
                </c:pt>
                <c:pt idx="19">
                  <c:v>17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12</c:v>
                </c:pt>
                <c:pt idx="24">
                  <c:v>13</c:v>
                </c:pt>
                <c:pt idx="25">
                  <c:v>10</c:v>
                </c:pt>
                <c:pt idx="26">
                  <c:v>8</c:v>
                </c:pt>
                <c:pt idx="27">
                  <c:v>17</c:v>
                </c:pt>
                <c:pt idx="28">
                  <c:v>13</c:v>
                </c:pt>
                <c:pt idx="29">
                  <c:v>15</c:v>
                </c:pt>
                <c:pt idx="30">
                  <c:v>20</c:v>
                </c:pt>
                <c:pt idx="31">
                  <c:v>25</c:v>
                </c:pt>
              </c:numCache>
            </c:numRef>
          </c:xVal>
          <c:yVal>
            <c:numRef>
              <c:f>'4'!$D$36:$D$67</c:f>
              <c:numCache>
                <c:formatCode>_-* #\ ##0_-;\-* #\ ##0_-;_-* "-"??_-;_-@_-</c:formatCode>
                <c:ptCount val="32"/>
                <c:pt idx="0">
                  <c:v>242064.99454578781</c:v>
                </c:pt>
                <c:pt idx="1">
                  <c:v>85422.220708620735</c:v>
                </c:pt>
                <c:pt idx="2">
                  <c:v>85422.220708620735</c:v>
                </c:pt>
                <c:pt idx="3">
                  <c:v>154904.1072555212</c:v>
                </c:pt>
                <c:pt idx="4">
                  <c:v>242064.99454578781</c:v>
                </c:pt>
                <c:pt idx="5">
                  <c:v>85422.220708620735</c:v>
                </c:pt>
                <c:pt idx="6">
                  <c:v>133487.28937065901</c:v>
                </c:pt>
                <c:pt idx="7">
                  <c:v>85422.220708620735</c:v>
                </c:pt>
                <c:pt idx="8">
                  <c:v>85422.220708620735</c:v>
                </c:pt>
                <c:pt idx="9">
                  <c:v>85422.220708620735</c:v>
                </c:pt>
                <c:pt idx="10">
                  <c:v>179757.05820200936</c:v>
                </c:pt>
                <c:pt idx="11">
                  <c:v>133487.28937065901</c:v>
                </c:pt>
                <c:pt idx="12">
                  <c:v>154904.1072555212</c:v>
                </c:pt>
                <c:pt idx="13">
                  <c:v>133487.28937065901</c:v>
                </c:pt>
                <c:pt idx="14">
                  <c:v>85422.220708620735</c:v>
                </c:pt>
                <c:pt idx="15">
                  <c:v>85422.220708620735</c:v>
                </c:pt>
                <c:pt idx="16">
                  <c:v>154904.1072555212</c:v>
                </c:pt>
                <c:pt idx="17">
                  <c:v>47106.277038578854</c:v>
                </c:pt>
                <c:pt idx="18">
                  <c:v>73611.867990088635</c:v>
                </c:pt>
                <c:pt idx="19">
                  <c:v>179757.05820200936</c:v>
                </c:pt>
                <c:pt idx="20">
                  <c:v>85422.220708620735</c:v>
                </c:pt>
                <c:pt idx="21">
                  <c:v>54664.049477629225</c:v>
                </c:pt>
                <c:pt idx="22">
                  <c:v>154904.1072555212</c:v>
                </c:pt>
                <c:pt idx="23">
                  <c:v>85422.220708620735</c:v>
                </c:pt>
                <c:pt idx="24">
                  <c:v>99127.436784715246</c:v>
                </c:pt>
                <c:pt idx="25">
                  <c:v>63434.397561188489</c:v>
                </c:pt>
                <c:pt idx="26">
                  <c:v>47106.277038578854</c:v>
                </c:pt>
                <c:pt idx="27">
                  <c:v>179757.05820200936</c:v>
                </c:pt>
                <c:pt idx="28">
                  <c:v>99127.436784715246</c:v>
                </c:pt>
                <c:pt idx="29">
                  <c:v>133487.28937065901</c:v>
                </c:pt>
                <c:pt idx="30">
                  <c:v>280902.11476097145</c:v>
                </c:pt>
                <c:pt idx="31">
                  <c:v>591112.44560584961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FB-4C47-B46D-9A406A5B1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273360"/>
        <c:axId val="425428352"/>
      </c:scatterChart>
      <c:valAx>
        <c:axId val="779273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Oktatásban eltöltött idő (év)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5428352"/>
        <c:crosses val="autoZero"/>
        <c:crossBetween val="midCat"/>
      </c:valAx>
      <c:valAx>
        <c:axId val="42542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havi nettó kereset (Ft)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79273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Exponenciális trendfüggvény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átlagos élelmiszerkiadás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25186271691252926"/>
                  <c:y val="1.7245513670642008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val>
            <c:numRef>
              <c:f>'5'!$C$3:$C$23</c:f>
              <c:numCache>
                <c:formatCode>_-* #\ ##0_-;\-* #\ ##0_-;_-* "-"??_-;_-@_-</c:formatCode>
                <c:ptCount val="21"/>
                <c:pt idx="0">
                  <c:v>64116.25</c:v>
                </c:pt>
                <c:pt idx="1">
                  <c:v>72366.25</c:v>
                </c:pt>
                <c:pt idx="2">
                  <c:v>111398.5</c:v>
                </c:pt>
                <c:pt idx="3">
                  <c:v>135551</c:v>
                </c:pt>
                <c:pt idx="4">
                  <c:v>140031.75</c:v>
                </c:pt>
                <c:pt idx="5">
                  <c:v>148584.875</c:v>
                </c:pt>
                <c:pt idx="6">
                  <c:v>133878.625</c:v>
                </c:pt>
                <c:pt idx="7">
                  <c:v>147120.875</c:v>
                </c:pt>
                <c:pt idx="8">
                  <c:v>172947.25</c:v>
                </c:pt>
                <c:pt idx="9">
                  <c:v>180175.75</c:v>
                </c:pt>
                <c:pt idx="10">
                  <c:v>215006.25</c:v>
                </c:pt>
                <c:pt idx="11">
                  <c:v>248504.25</c:v>
                </c:pt>
                <c:pt idx="12">
                  <c:v>283050.375</c:v>
                </c:pt>
                <c:pt idx="13">
                  <c:v>297904.375</c:v>
                </c:pt>
                <c:pt idx="14">
                  <c:v>319434.5</c:v>
                </c:pt>
                <c:pt idx="15">
                  <c:v>310826.125</c:v>
                </c:pt>
                <c:pt idx="16">
                  <c:v>329081.875</c:v>
                </c:pt>
                <c:pt idx="17">
                  <c:v>358318</c:v>
                </c:pt>
                <c:pt idx="18">
                  <c:v>368069.5</c:v>
                </c:pt>
                <c:pt idx="19">
                  <c:v>394355.625</c:v>
                </c:pt>
                <c:pt idx="20">
                  <c:v>405000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F-4414-BC55-9F2840ACC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968335"/>
        <c:axId val="344961679"/>
      </c:lineChart>
      <c:catAx>
        <c:axId val="34496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4961679"/>
        <c:crosses val="autoZero"/>
        <c:auto val="1"/>
        <c:lblAlgn val="ctr"/>
        <c:lblOffset val="100"/>
        <c:noMultiLvlLbl val="1"/>
      </c:catAx>
      <c:valAx>
        <c:axId val="344961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átlagos élelmiszerkiadás (Ft)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496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átlagos élelmiszerkiadás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733065793791906"/>
                  <c:y val="3.789691004263197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val>
            <c:numRef>
              <c:f>'5'!$C$33:$C$53</c:f>
              <c:numCache>
                <c:formatCode>0</c:formatCode>
                <c:ptCount val="21"/>
                <c:pt idx="0">
                  <c:v>64116.25</c:v>
                </c:pt>
                <c:pt idx="1">
                  <c:v>72366.25</c:v>
                </c:pt>
                <c:pt idx="2">
                  <c:v>111398.5</c:v>
                </c:pt>
                <c:pt idx="3">
                  <c:v>135551</c:v>
                </c:pt>
                <c:pt idx="4">
                  <c:v>140031.75</c:v>
                </c:pt>
                <c:pt idx="5">
                  <c:v>148584.875</c:v>
                </c:pt>
                <c:pt idx="6">
                  <c:v>133878.625</c:v>
                </c:pt>
                <c:pt idx="7">
                  <c:v>147120.875</c:v>
                </c:pt>
                <c:pt idx="8">
                  <c:v>172947.25</c:v>
                </c:pt>
                <c:pt idx="9">
                  <c:v>180175.75</c:v>
                </c:pt>
                <c:pt idx="10">
                  <c:v>215006.25</c:v>
                </c:pt>
                <c:pt idx="11">
                  <c:v>248504.25</c:v>
                </c:pt>
                <c:pt idx="12">
                  <c:v>283050.375</c:v>
                </c:pt>
                <c:pt idx="13">
                  <c:v>297904.375</c:v>
                </c:pt>
                <c:pt idx="14">
                  <c:v>319434.5</c:v>
                </c:pt>
                <c:pt idx="15">
                  <c:v>310826.125</c:v>
                </c:pt>
                <c:pt idx="16">
                  <c:v>329081.875</c:v>
                </c:pt>
                <c:pt idx="17">
                  <c:v>358318</c:v>
                </c:pt>
                <c:pt idx="18">
                  <c:v>368069.5</c:v>
                </c:pt>
                <c:pt idx="19">
                  <c:v>394355.625</c:v>
                </c:pt>
                <c:pt idx="20">
                  <c:v>405000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0-467E-BF8B-B4A356FCC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6997808"/>
        <c:axId val="719839584"/>
      </c:lineChart>
      <c:catAx>
        <c:axId val="79699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9839584"/>
        <c:crosses val="autoZero"/>
        <c:auto val="1"/>
        <c:lblAlgn val="ctr"/>
        <c:lblOffset val="100"/>
        <c:noMultiLvlLbl val="0"/>
      </c:catAx>
      <c:valAx>
        <c:axId val="71983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átlagos élelmiszerkiadás (Ft)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699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Valós és becsült élelmiszerkiadások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valós kiadások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'5'!$B$33:$B$59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xVal>
          <c:yVal>
            <c:numRef>
              <c:f>'5'!$C$33:$C$59</c:f>
              <c:numCache>
                <c:formatCode>0</c:formatCode>
                <c:ptCount val="27"/>
                <c:pt idx="0">
                  <c:v>64116.25</c:v>
                </c:pt>
                <c:pt idx="1">
                  <c:v>72366.25</c:v>
                </c:pt>
                <c:pt idx="2">
                  <c:v>111398.5</c:v>
                </c:pt>
                <c:pt idx="3">
                  <c:v>135551</c:v>
                </c:pt>
                <c:pt idx="4">
                  <c:v>140031.75</c:v>
                </c:pt>
                <c:pt idx="5">
                  <c:v>148584.875</c:v>
                </c:pt>
                <c:pt idx="6">
                  <c:v>133878.625</c:v>
                </c:pt>
                <c:pt idx="7">
                  <c:v>147120.875</c:v>
                </c:pt>
                <c:pt idx="8">
                  <c:v>172947.25</c:v>
                </c:pt>
                <c:pt idx="9">
                  <c:v>180175.75</c:v>
                </c:pt>
                <c:pt idx="10">
                  <c:v>215006.25</c:v>
                </c:pt>
                <c:pt idx="11">
                  <c:v>248504.25</c:v>
                </c:pt>
                <c:pt idx="12">
                  <c:v>283050.375</c:v>
                </c:pt>
                <c:pt idx="13">
                  <c:v>297904.375</c:v>
                </c:pt>
                <c:pt idx="14">
                  <c:v>319434.5</c:v>
                </c:pt>
                <c:pt idx="15">
                  <c:v>310826.125</c:v>
                </c:pt>
                <c:pt idx="16">
                  <c:v>329081.875</c:v>
                </c:pt>
                <c:pt idx="17">
                  <c:v>358318</c:v>
                </c:pt>
                <c:pt idx="18">
                  <c:v>368069.5</c:v>
                </c:pt>
                <c:pt idx="19">
                  <c:v>394355.625</c:v>
                </c:pt>
                <c:pt idx="20">
                  <c:v>405000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6A-4032-8D49-EE44CB6F213B}"/>
            </c:ext>
          </c:extLst>
        </c:ser>
        <c:ser>
          <c:idx val="1"/>
          <c:order val="1"/>
          <c:tx>
            <c:v>becsült kiadások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'5'!$B$33:$B$59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xVal>
          <c:yVal>
            <c:numRef>
              <c:f>'5'!$D$33:$D$59</c:f>
              <c:numCache>
                <c:formatCode>General</c:formatCode>
                <c:ptCount val="27"/>
                <c:pt idx="0">
                  <c:v>56920</c:v>
                </c:pt>
                <c:pt idx="1">
                  <c:v>74255</c:v>
                </c:pt>
                <c:pt idx="2">
                  <c:v>91590</c:v>
                </c:pt>
                <c:pt idx="3">
                  <c:v>108925</c:v>
                </c:pt>
                <c:pt idx="4">
                  <c:v>126260</c:v>
                </c:pt>
                <c:pt idx="5">
                  <c:v>143595</c:v>
                </c:pt>
                <c:pt idx="6">
                  <c:v>160930</c:v>
                </c:pt>
                <c:pt idx="7">
                  <c:v>178265</c:v>
                </c:pt>
                <c:pt idx="8">
                  <c:v>195600</c:v>
                </c:pt>
                <c:pt idx="9">
                  <c:v>212935</c:v>
                </c:pt>
                <c:pt idx="10">
                  <c:v>230270</c:v>
                </c:pt>
                <c:pt idx="11">
                  <c:v>247605</c:v>
                </c:pt>
                <c:pt idx="12">
                  <c:v>264940</c:v>
                </c:pt>
                <c:pt idx="13">
                  <c:v>282275</c:v>
                </c:pt>
                <c:pt idx="14">
                  <c:v>299610</c:v>
                </c:pt>
                <c:pt idx="15">
                  <c:v>316945</c:v>
                </c:pt>
                <c:pt idx="16">
                  <c:v>334280</c:v>
                </c:pt>
                <c:pt idx="17">
                  <c:v>351615</c:v>
                </c:pt>
                <c:pt idx="18">
                  <c:v>368950</c:v>
                </c:pt>
                <c:pt idx="19">
                  <c:v>386285</c:v>
                </c:pt>
                <c:pt idx="20">
                  <c:v>403620</c:v>
                </c:pt>
                <c:pt idx="21">
                  <c:v>420955</c:v>
                </c:pt>
                <c:pt idx="22">
                  <c:v>438290</c:v>
                </c:pt>
                <c:pt idx="23">
                  <c:v>455625</c:v>
                </c:pt>
                <c:pt idx="24">
                  <c:v>472960</c:v>
                </c:pt>
                <c:pt idx="25">
                  <c:v>490295</c:v>
                </c:pt>
                <c:pt idx="26">
                  <c:v>507630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6A-4032-8D49-EE44CB6F2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506368"/>
        <c:axId val="1755337040"/>
      </c:scatterChart>
      <c:valAx>
        <c:axId val="70750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5337040"/>
        <c:crosses val="autoZero"/>
        <c:crossBetween val="midCat"/>
      </c:valAx>
      <c:valAx>
        <c:axId val="175533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élelmiszerkiadás (Ft)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7506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438149</xdr:colOff>
      <xdr:row>1</xdr:row>
      <xdr:rowOff>38100</xdr:rowOff>
    </xdr:from>
    <xdr:to>
      <xdr:col>10</xdr:col>
      <xdr:colOff>323850</xdr:colOff>
      <xdr:row>9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8E6AB6-1DB9-4860-AC1E-80BB53F87A85}"/>
            </a:ext>
          </a:extLst>
        </xdr:cNvPr>
        <xdr:cNvSpPr txBox="1"/>
      </xdr:nvSpPr>
      <xdr:spPr>
        <a:xfrm>
          <a:off x="1657349" y="222250"/>
          <a:ext cx="4762501" cy="147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Vállalatok haszon adatai szerepelnek a táblázatban (n=30)</a:t>
          </a:r>
        </a:p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Feladat:</a:t>
          </a:r>
          <a:endParaRPr lang="en-US">
            <a:effectLst/>
          </a:endParaRPr>
        </a:p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Adjon intervallumbecslést a minta alapján a populáció vállalatainak átlagos hasznára! (P=95%)</a:t>
          </a:r>
          <a:endParaRPr lang="en-US">
            <a:effectLst/>
          </a:endParaRPr>
        </a:p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Becsülje meg a 2000 M Ft alatti haszonnal rendelkező cégek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arányát!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? (P=96%)</a:t>
          </a:r>
        </a:p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Hány elemű minta pontosítaná az átlagbecslést 3-szorosára? (P=95%)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209549</xdr:colOff>
      <xdr:row>2</xdr:row>
      <xdr:rowOff>0</xdr:rowOff>
    </xdr:from>
    <xdr:to>
      <xdr:col>17</xdr:col>
      <xdr:colOff>295274</xdr:colOff>
      <xdr:row>9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EC6CD8-1A06-42A4-8E36-D1D3C91A7685}"/>
            </a:ext>
          </a:extLst>
        </xdr:cNvPr>
        <xdr:cNvSpPr txBox="1"/>
      </xdr:nvSpPr>
      <xdr:spPr>
        <a:xfrm>
          <a:off x="3867149" y="361950"/>
          <a:ext cx="6794500" cy="1343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Cégek reklámköltsége (x) és bevétele (y) szerepel 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adatbázisban (n=20).</a:t>
          </a:r>
          <a:endParaRPr lang="en-US">
            <a:effectLst/>
          </a:endParaRPr>
        </a:p>
        <a:p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2.Feladat:</a:t>
          </a:r>
          <a:endParaRPr lang="en-US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Elemezze a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reklámköltség (x) és bevétel (y) 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közötti kapcsolatot és magyarázottságot! (r, r^2)</a:t>
          </a:r>
          <a:endParaRPr lang="en-US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Készítsen pontdiagramot a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reklámköltség (x) és bevétel (y) 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kapcsolatáról, és adja meg a lineáris regressziófüggvényt! Értelmezze a paramétereket! Adjon bevétel becslést a függvénnyel 40, 60 E Ft-os reklámköltséghez!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Határozza meg és értelmezze a becslés hibáit!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7</xdr:col>
      <xdr:colOff>593724</xdr:colOff>
      <xdr:row>15</xdr:row>
      <xdr:rowOff>6350</xdr:rowOff>
    </xdr:from>
    <xdr:to>
      <xdr:col>18</xdr:col>
      <xdr:colOff>146049</xdr:colOff>
      <xdr:row>29</xdr:row>
      <xdr:rowOff>171450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3EBEEEA-AC24-CBA6-F533-6C3BB825E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</xdr:row>
      <xdr:rowOff>64770</xdr:rowOff>
    </xdr:from>
    <xdr:to>
      <xdr:col>15</xdr:col>
      <xdr:colOff>163830</xdr:colOff>
      <xdr:row>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E85D40-85C1-499D-A299-B657D8722C41}"/>
            </a:ext>
          </a:extLst>
        </xdr:cNvPr>
        <xdr:cNvSpPr txBox="1"/>
      </xdr:nvSpPr>
      <xdr:spPr>
        <a:xfrm>
          <a:off x="4324350" y="248920"/>
          <a:ext cx="4980305" cy="1313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Tokaji aszú borok kora (x) és ára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(y)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szerepel a táblázatban (n=28)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3.Feladat:</a:t>
          </a:r>
          <a:endParaRPr lang="en-US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Ábrázolja az adatokat, adja meg a lineáris-, és hatványkitevős regresszió-függvényeket ill. az R^2 adatokat, és értelmezze a paramétereiket ill. az R^2-eket!</a:t>
          </a:r>
          <a:endParaRPr lang="en-US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Adjon becslést a jobban illeszkedő függvény (R^2!) segítségével 21 és 23 éves borok árára!</a:t>
          </a:r>
          <a:endParaRPr lang="en-US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Adja meg és értelmezze a rugalmassági együtthatót mindkét függvényre egy 20 éves borhoz!</a:t>
          </a:r>
          <a:endParaRPr lang="en-US">
            <a:effectLst/>
          </a:endParaRPr>
        </a:p>
        <a:p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4</xdr:col>
      <xdr:colOff>344170</xdr:colOff>
      <xdr:row>8</xdr:row>
      <xdr:rowOff>175260</xdr:rowOff>
    </xdr:from>
    <xdr:to>
      <xdr:col>12</xdr:col>
      <xdr:colOff>1447800</xdr:colOff>
      <xdr:row>23</xdr:row>
      <xdr:rowOff>175260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B5F40C-7BCD-494A-B0A5-11D69A8A4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60960</xdr:colOff>
      <xdr:row>8</xdr:row>
      <xdr:rowOff>167640</xdr:rowOff>
    </xdr:from>
    <xdr:to>
      <xdr:col>21</xdr:col>
      <xdr:colOff>266700</xdr:colOff>
      <xdr:row>23</xdr:row>
      <xdr:rowOff>167640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61F1EBA-03DC-4FC5-8A28-B8A9AFA6B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392430</xdr:colOff>
      <xdr:row>1</xdr:row>
      <xdr:rowOff>163830</xdr:rowOff>
    </xdr:from>
    <xdr:to>
      <xdr:col>16</xdr:col>
      <xdr:colOff>243840</xdr:colOff>
      <xdr:row>8</xdr:row>
      <xdr:rowOff>45720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792A3F-8213-4EBE-B0F3-579B42B54747}"/>
            </a:ext>
          </a:extLst>
        </xdr:cNvPr>
        <xdr:cNvSpPr txBox="1"/>
      </xdr:nvSpPr>
      <xdr:spPr>
        <a:xfrm>
          <a:off x="4656455" y="341630"/>
          <a:ext cx="5337810" cy="1155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Tanárok jellemzőit tartalmazza a táblázat (n=30)</a:t>
          </a:r>
          <a:r>
            <a:rPr lang="hu-HU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effectLst/>
          </a:endParaRPr>
        </a:p>
        <a:p>
          <a:r>
            <a:rPr lang="hu-HU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5.Feladat:</a:t>
          </a:r>
          <a:endParaRPr lang="en-US" sz="1200">
            <a:effectLst/>
          </a:endParaRPr>
        </a:p>
        <a:p>
          <a:r>
            <a:rPr lang="hu-HU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Adja meg az </a:t>
          </a:r>
          <a:r>
            <a:rPr lang="hu-HU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oktatásban eltöltött év (x) </a:t>
          </a:r>
          <a:r>
            <a:rPr lang="hu-HU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és a </a:t>
          </a:r>
          <a:r>
            <a:rPr lang="hu-HU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havi nettó kereset (y) </a:t>
          </a:r>
          <a:r>
            <a:rPr lang="hu-HU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alakulását leíró </a:t>
          </a:r>
          <a:r>
            <a:rPr lang="hu-HU" sz="12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lineáris-, és exponenciális</a:t>
          </a:r>
          <a:r>
            <a:rPr lang="hu-HU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regressziófüggvényt, R^2 értékeket, és készítsen ábrát!</a:t>
          </a:r>
          <a:endParaRPr lang="en-US" sz="1200">
            <a:effectLst/>
          </a:endParaRPr>
        </a:p>
        <a:p>
          <a:r>
            <a:rPr lang="hu-HU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Értelmezze a függvények paramétereit, és R^2 adatokat!</a:t>
          </a:r>
          <a:endParaRPr lang="en-US" sz="1200">
            <a:effectLst/>
          </a:endParaRPr>
        </a:p>
        <a:p>
          <a:r>
            <a:rPr lang="hu-HU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Adjon kereset-becslést a jobb közelítést adó függvény segítségével az adott, ill. 20 és 25 oktatásban eltöltött évhez és ábrázolja a becslést!</a:t>
          </a:r>
          <a:endParaRPr lang="en-US" sz="1200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6</xdr:col>
      <xdr:colOff>244474</xdr:colOff>
      <xdr:row>10</xdr:row>
      <xdr:rowOff>44450</xdr:rowOff>
    </xdr:from>
    <xdr:to>
      <xdr:col>16</xdr:col>
      <xdr:colOff>38100</xdr:colOff>
      <xdr:row>25</xdr:row>
      <xdr:rowOff>25400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16A0C79-AD2F-8737-5AD9-198D4BD848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31750</xdr:colOff>
      <xdr:row>10</xdr:row>
      <xdr:rowOff>120650</xdr:rowOff>
    </xdr:from>
    <xdr:to>
      <xdr:col>27</xdr:col>
      <xdr:colOff>241300</xdr:colOff>
      <xdr:row>25</xdr:row>
      <xdr:rowOff>101600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2D621BD-6F13-4139-8ED7-294FCC112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34924</xdr:colOff>
      <xdr:row>35</xdr:row>
      <xdr:rowOff>38100</xdr:rowOff>
    </xdr:from>
    <xdr:to>
      <xdr:col>17</xdr:col>
      <xdr:colOff>565150</xdr:colOff>
      <xdr:row>51</xdr:row>
      <xdr:rowOff>38100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2C37E18-ACFB-1660-AEC5-B2C729C5D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281939</xdr:colOff>
      <xdr:row>1</xdr:row>
      <xdr:rowOff>175259</xdr:rowOff>
    </xdr:from>
    <xdr:to>
      <xdr:col>22</xdr:col>
      <xdr:colOff>262890</xdr:colOff>
      <xdr:row>7</xdr:row>
      <xdr:rowOff>41910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B2161E-EC70-4D3E-9F5E-AC888D13E488}"/>
            </a:ext>
          </a:extLst>
        </xdr:cNvPr>
        <xdr:cNvSpPr txBox="1"/>
      </xdr:nvSpPr>
      <xdr:spPr>
        <a:xfrm>
          <a:off x="3936364" y="359409"/>
          <a:ext cx="7905751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Családok élelmiszerre fordított éves átlagos kiadásainak (Ft) alakulását tartalazza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táblázat 1989-2009 időszakban.</a:t>
          </a:r>
          <a:endParaRPr lang="hu-HU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Feladat:</a:t>
          </a:r>
        </a:p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Ábrázolja vonaldiagrammal az idősor adatait és adja meg a </a:t>
          </a:r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lineáris-, és exponenciális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trendet </a:t>
          </a:r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és értelmezze a paramétereket!</a:t>
          </a:r>
        </a:p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Adjon becslést a jobban közelítő ternddel a vizsgált évekre és prognózist 2010-2015 évek költségeire és ábrázolja!</a:t>
          </a:r>
        </a:p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Határozza meg és értelmezze a függvények hibáit!</a:t>
          </a:r>
        </a:p>
        <a:p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17</xdr:col>
      <xdr:colOff>95250</xdr:colOff>
      <xdr:row>8</xdr:row>
      <xdr:rowOff>78105</xdr:rowOff>
    </xdr:from>
    <xdr:to>
      <xdr:col>26</xdr:col>
      <xdr:colOff>542924</xdr:colOff>
      <xdr:row>25</xdr:row>
      <xdr:rowOff>66675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4C26EDC-CFA7-4353-99F2-7093FE678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28574</xdr:colOff>
      <xdr:row>8</xdr:row>
      <xdr:rowOff>68260</xdr:rowOff>
    </xdr:from>
    <xdr:to>
      <xdr:col>16</xdr:col>
      <xdr:colOff>520700</xdr:colOff>
      <xdr:row>25</xdr:row>
      <xdr:rowOff>38099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72651F9-6088-285A-14C3-F9DDC4ECC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</xdr:colOff>
      <xdr:row>34</xdr:row>
      <xdr:rowOff>125412</xdr:rowOff>
    </xdr:from>
    <xdr:to>
      <xdr:col>25</xdr:col>
      <xdr:colOff>444500</xdr:colOff>
      <xdr:row>65</xdr:row>
      <xdr:rowOff>19050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F2BDB115-D863-318A-5C42-7B1A2733DB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6CDE9-687E-489B-B5AD-3760AA36391D}">
  <dimension ref="B2:M39"/>
  <sheetViews>
    <sheetView tabSelected="1" workbookViewId="0">
      <selection activeCell="J18" sqref="J18"/>
    </sheetView>
  </sheetViews>
  <sheetFormatPr defaultRowHeight="14.5"/>
  <cols>
    <col min="2" max="2" width="16.1796875" customWidth="1"/>
    <col min="4" max="4" width="12.26953125" bestFit="1" customWidth="1"/>
    <col min="5" max="5" width="12.26953125" customWidth="1"/>
    <col min="14" max="14" width="14.453125" customWidth="1"/>
    <col min="15" max="15" width="10.54296875" customWidth="1"/>
  </cols>
  <sheetData>
    <row r="2" spans="2:13">
      <c r="B2" s="17" t="s">
        <v>49</v>
      </c>
    </row>
    <row r="3" spans="2:13">
      <c r="B3" s="1">
        <v>3082</v>
      </c>
      <c r="M3" t="s">
        <v>7</v>
      </c>
    </row>
    <row r="4" spans="2:13">
      <c r="B4" s="1">
        <v>2646</v>
      </c>
    </row>
    <row r="5" spans="2:13">
      <c r="B5" s="1">
        <v>2639</v>
      </c>
    </row>
    <row r="6" spans="2:13">
      <c r="B6" s="1">
        <v>2454</v>
      </c>
    </row>
    <row r="7" spans="2:13">
      <c r="B7" s="1">
        <v>2389</v>
      </c>
    </row>
    <row r="8" spans="2:13">
      <c r="B8" s="1">
        <v>2231</v>
      </c>
    </row>
    <row r="9" spans="2:13">
      <c r="B9" s="1">
        <v>2201</v>
      </c>
    </row>
    <row r="10" spans="2:13">
      <c r="B10" s="1">
        <v>2197</v>
      </c>
    </row>
    <row r="11" spans="2:13">
      <c r="B11" s="1">
        <v>2165</v>
      </c>
    </row>
    <row r="12" spans="2:13">
      <c r="B12" s="1">
        <v>2119</v>
      </c>
      <c r="D12" s="2" t="s">
        <v>3</v>
      </c>
    </row>
    <row r="13" spans="2:13">
      <c r="B13" s="1">
        <v>2084</v>
      </c>
      <c r="D13" t="s">
        <v>44</v>
      </c>
      <c r="E13">
        <f>COUNT(B3:B32)</f>
        <v>30</v>
      </c>
    </row>
    <row r="14" spans="2:13">
      <c r="B14" s="1">
        <v>2070</v>
      </c>
      <c r="D14" t="s">
        <v>48</v>
      </c>
      <c r="E14" s="16">
        <f>AVERAGE(B3:B32)</f>
        <v>1907</v>
      </c>
    </row>
    <row r="15" spans="2:13">
      <c r="B15" s="1">
        <v>1961</v>
      </c>
      <c r="D15" t="s">
        <v>47</v>
      </c>
      <c r="E15" s="16">
        <f>_xlfn.STDEV.S(B3:B32)</f>
        <v>485.46401549942669</v>
      </c>
    </row>
    <row r="16" spans="2:13">
      <c r="B16" s="1">
        <v>1952</v>
      </c>
      <c r="D16" t="s">
        <v>46</v>
      </c>
      <c r="E16" s="16">
        <f>_xlfn.T.INV.2T(5%,29)</f>
        <v>2.0452296421327048</v>
      </c>
    </row>
    <row r="17" spans="2:6">
      <c r="B17" s="1">
        <v>1951</v>
      </c>
      <c r="D17" t="s">
        <v>58</v>
      </c>
      <c r="E17" s="16">
        <f>E15/SQRT(E13)</f>
        <v>88.633197382024534</v>
      </c>
    </row>
    <row r="18" spans="2:6">
      <c r="B18" s="1">
        <v>1915</v>
      </c>
      <c r="D18" t="s">
        <v>41</v>
      </c>
      <c r="E18" s="16">
        <f>E16*E17</f>
        <v>181.27524256271542</v>
      </c>
    </row>
    <row r="19" spans="2:6">
      <c r="B19" s="1">
        <v>1915</v>
      </c>
    </row>
    <row r="20" spans="2:6">
      <c r="B20" s="1">
        <v>1906</v>
      </c>
      <c r="D20" t="s">
        <v>40</v>
      </c>
      <c r="E20" t="s">
        <v>39</v>
      </c>
    </row>
    <row r="21" spans="2:6">
      <c r="B21" s="1">
        <v>1766</v>
      </c>
      <c r="D21" s="3">
        <f>E14-E18</f>
        <v>1725.7247574372846</v>
      </c>
      <c r="E21" s="3">
        <f>E14+E18</f>
        <v>2088.2752425627154</v>
      </c>
      <c r="F21" s="2" t="s">
        <v>45</v>
      </c>
    </row>
    <row r="22" spans="2:6">
      <c r="B22" s="1">
        <v>1761</v>
      </c>
    </row>
    <row r="23" spans="2:6">
      <c r="B23" s="1">
        <v>1731</v>
      </c>
      <c r="D23" s="2" t="s">
        <v>16</v>
      </c>
    </row>
    <row r="24" spans="2:6">
      <c r="B24" s="1">
        <v>1638</v>
      </c>
      <c r="D24" t="s">
        <v>44</v>
      </c>
      <c r="E24">
        <v>30</v>
      </c>
    </row>
    <row r="25" spans="2:6">
      <c r="B25" s="1">
        <v>1529</v>
      </c>
      <c r="D25" t="s">
        <v>43</v>
      </c>
      <c r="E25">
        <f>COUNTIF(B3:B32,"&lt;2000")</f>
        <v>18</v>
      </c>
    </row>
    <row r="26" spans="2:6">
      <c r="B26" s="1">
        <v>1509</v>
      </c>
      <c r="D26" t="s">
        <v>59</v>
      </c>
      <c r="E26">
        <f>E25/E24</f>
        <v>0.6</v>
      </c>
    </row>
    <row r="27" spans="2:6">
      <c r="B27" s="1">
        <v>1485</v>
      </c>
      <c r="D27" t="s">
        <v>42</v>
      </c>
      <c r="E27">
        <f>1-E26</f>
        <v>0.4</v>
      </c>
    </row>
    <row r="28" spans="2:6">
      <c r="B28" s="1">
        <v>1461</v>
      </c>
      <c r="D28" t="s">
        <v>46</v>
      </c>
      <c r="E28" s="16">
        <f>_xlfn.T.INV.2T(4%,29)</f>
        <v>2.1503250878355509</v>
      </c>
    </row>
    <row r="29" spans="2:6">
      <c r="B29" s="1">
        <v>1273</v>
      </c>
      <c r="D29" t="s">
        <v>58</v>
      </c>
      <c r="E29" s="16">
        <f>SQRT(E26*E27/E24)</f>
        <v>8.9442719099991588E-2</v>
      </c>
      <c r="F29" s="15"/>
    </row>
    <row r="30" spans="2:6">
      <c r="B30" s="1">
        <v>1144</v>
      </c>
      <c r="D30" t="s">
        <v>41</v>
      </c>
      <c r="E30" s="8">
        <f>E28*E29</f>
        <v>0.19233092280493991</v>
      </c>
    </row>
    <row r="31" spans="2:6">
      <c r="B31" s="1">
        <v>1040</v>
      </c>
    </row>
    <row r="32" spans="2:6">
      <c r="B32" s="1">
        <v>996</v>
      </c>
      <c r="D32" t="s">
        <v>40</v>
      </c>
      <c r="E32" t="s">
        <v>39</v>
      </c>
    </row>
    <row r="33" spans="4:5">
      <c r="D33" s="4">
        <f>E26-E30</f>
        <v>0.40766907719506007</v>
      </c>
      <c r="E33" s="4">
        <f>E26+E30</f>
        <v>0.79233092280493989</v>
      </c>
    </row>
    <row r="35" spans="4:5">
      <c r="D35" s="2" t="s">
        <v>0</v>
      </c>
    </row>
    <row r="36" spans="4:5">
      <c r="D36" t="s">
        <v>38</v>
      </c>
      <c r="E36" s="9">
        <f>E18/3</f>
        <v>60.425080854238473</v>
      </c>
    </row>
    <row r="37" spans="4:5">
      <c r="D37" t="s">
        <v>46</v>
      </c>
      <c r="E37" s="9">
        <f>E16</f>
        <v>2.0452296421327048</v>
      </c>
    </row>
    <row r="39" spans="4:5">
      <c r="D39" t="s">
        <v>37</v>
      </c>
      <c r="E39" s="14">
        <f>E37^2*E15^2/(E36^2)</f>
        <v>269.99999999999994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9B94F-D196-4F8E-A411-0A2F13899009}">
  <dimension ref="B1:P49"/>
  <sheetViews>
    <sheetView topLeftCell="C1" workbookViewId="0">
      <selection activeCell="I43" sqref="I43"/>
    </sheetView>
  </sheetViews>
  <sheetFormatPr defaultRowHeight="14.5"/>
  <cols>
    <col min="2" max="2" width="18.81640625" customWidth="1"/>
    <col min="3" max="3" width="15.453125" customWidth="1"/>
    <col min="4" max="4" width="8.1796875" bestFit="1" customWidth="1"/>
    <col min="5" max="5" width="16" customWidth="1"/>
    <col min="9" max="9" width="13.453125" customWidth="1"/>
    <col min="15" max="15" width="9.26953125" bestFit="1" customWidth="1"/>
  </cols>
  <sheetData>
    <row r="1" spans="2:11">
      <c r="B1" s="24" t="s">
        <v>9</v>
      </c>
      <c r="C1" s="24" t="s">
        <v>8</v>
      </c>
    </row>
    <row r="2" spans="2:11">
      <c r="B2" s="5" t="s">
        <v>18</v>
      </c>
      <c r="C2" s="5" t="s">
        <v>17</v>
      </c>
      <c r="D2" s="23" t="s">
        <v>66</v>
      </c>
      <c r="E2" s="23" t="s">
        <v>68</v>
      </c>
    </row>
    <row r="3" spans="2:11">
      <c r="B3" s="1">
        <v>59</v>
      </c>
      <c r="C3" s="1">
        <v>1426</v>
      </c>
      <c r="D3">
        <f>$K$32+$M$32*B3</f>
        <v>1538.13</v>
      </c>
      <c r="E3" s="9">
        <f>(C3-D3)^2</f>
        <v>12573.136900000025</v>
      </c>
    </row>
    <row r="4" spans="2:11">
      <c r="B4" s="1">
        <v>33</v>
      </c>
      <c r="C4" s="1">
        <v>1428</v>
      </c>
      <c r="D4">
        <f t="shared" ref="D4:D22" si="0">$K$32+$M$32*B4</f>
        <v>1531.1100000000001</v>
      </c>
      <c r="E4" s="9">
        <f t="shared" ref="E4:E22" si="1">(C4-D4)^2</f>
        <v>10631.672100000027</v>
      </c>
    </row>
    <row r="5" spans="2:11">
      <c r="B5" s="1">
        <v>47</v>
      </c>
      <c r="C5" s="1">
        <v>1461</v>
      </c>
      <c r="D5">
        <f t="shared" si="0"/>
        <v>1534.89</v>
      </c>
      <c r="E5" s="9">
        <f t="shared" si="1"/>
        <v>5459.7321000000147</v>
      </c>
    </row>
    <row r="6" spans="2:11">
      <c r="B6" s="1">
        <v>37</v>
      </c>
      <c r="C6" s="1">
        <v>1464</v>
      </c>
      <c r="D6">
        <f t="shared" si="0"/>
        <v>1532.19</v>
      </c>
      <c r="E6" s="9">
        <f t="shared" si="1"/>
        <v>4649.8761000000077</v>
      </c>
    </row>
    <row r="7" spans="2:11">
      <c r="B7" s="1">
        <v>40</v>
      </c>
      <c r="C7" s="1">
        <v>1485</v>
      </c>
      <c r="D7">
        <f t="shared" si="0"/>
        <v>1533</v>
      </c>
      <c r="E7" s="9">
        <f t="shared" si="1"/>
        <v>2304</v>
      </c>
    </row>
    <row r="8" spans="2:11">
      <c r="B8" s="1">
        <v>43</v>
      </c>
      <c r="C8" s="1">
        <v>1500</v>
      </c>
      <c r="D8">
        <f t="shared" si="0"/>
        <v>1533.81</v>
      </c>
      <c r="E8" s="9">
        <f t="shared" si="1"/>
        <v>1143.1160999999963</v>
      </c>
    </row>
    <row r="9" spans="2:11">
      <c r="B9" s="1">
        <v>58</v>
      </c>
      <c r="C9" s="1">
        <v>1501</v>
      </c>
      <c r="D9">
        <f t="shared" si="0"/>
        <v>1537.8600000000001</v>
      </c>
      <c r="E9" s="9">
        <f t="shared" si="1"/>
        <v>1358.6596000000093</v>
      </c>
    </row>
    <row r="10" spans="2:11">
      <c r="B10" s="1">
        <v>40</v>
      </c>
      <c r="C10" s="1">
        <v>1509</v>
      </c>
      <c r="D10">
        <f t="shared" si="0"/>
        <v>1533</v>
      </c>
      <c r="E10" s="9">
        <f t="shared" si="1"/>
        <v>576</v>
      </c>
    </row>
    <row r="11" spans="2:11">
      <c r="B11" s="1">
        <v>27</v>
      </c>
      <c r="C11" s="1">
        <v>1529</v>
      </c>
      <c r="D11">
        <f t="shared" si="0"/>
        <v>1529.49</v>
      </c>
      <c r="E11" s="9">
        <f t="shared" si="1"/>
        <v>0.24010000000000892</v>
      </c>
      <c r="H11" s="2" t="s">
        <v>3</v>
      </c>
      <c r="I11" t="s">
        <v>60</v>
      </c>
      <c r="J11" s="9">
        <f>CORREL(B3:B22,C3:C22)</f>
        <v>4.8780749019974035E-2</v>
      </c>
      <c r="K11" t="s">
        <v>62</v>
      </c>
    </row>
    <row r="12" spans="2:11">
      <c r="B12" s="1">
        <v>44</v>
      </c>
      <c r="C12" s="1">
        <v>1532</v>
      </c>
      <c r="D12">
        <f t="shared" si="0"/>
        <v>1534.0800000000002</v>
      </c>
      <c r="E12" s="9">
        <f t="shared" si="1"/>
        <v>4.3264000000006435</v>
      </c>
      <c r="I12" t="s">
        <v>61</v>
      </c>
      <c r="J12" s="8">
        <f>J11^2</f>
        <v>2.3795614749496977E-3</v>
      </c>
      <c r="K12" t="s">
        <v>63</v>
      </c>
    </row>
    <row r="13" spans="2:11">
      <c r="B13" s="1">
        <v>56</v>
      </c>
      <c r="C13" s="1">
        <v>1536</v>
      </c>
      <c r="D13">
        <f t="shared" si="0"/>
        <v>1537.32</v>
      </c>
      <c r="E13" s="9">
        <f t="shared" si="1"/>
        <v>1.7423999999998319</v>
      </c>
    </row>
    <row r="14" spans="2:11">
      <c r="B14" s="1">
        <v>62</v>
      </c>
      <c r="C14" s="1">
        <v>1538</v>
      </c>
      <c r="D14">
        <f t="shared" si="0"/>
        <v>1538.94</v>
      </c>
      <c r="E14" s="9">
        <f t="shared" si="1"/>
        <v>0.88360000000010264</v>
      </c>
    </row>
    <row r="15" spans="2:11">
      <c r="B15" s="1">
        <v>32</v>
      </c>
      <c r="C15" s="1">
        <v>1546</v>
      </c>
      <c r="D15">
        <f t="shared" si="0"/>
        <v>1530.8400000000001</v>
      </c>
      <c r="E15" s="9">
        <f t="shared" si="1"/>
        <v>229.82559999999557</v>
      </c>
    </row>
    <row r="16" spans="2:11">
      <c r="B16" s="1">
        <v>43</v>
      </c>
      <c r="C16" s="1">
        <v>1549</v>
      </c>
      <c r="D16">
        <f t="shared" si="0"/>
        <v>1533.81</v>
      </c>
      <c r="E16" s="9">
        <f t="shared" si="1"/>
        <v>230.73610000000167</v>
      </c>
      <c r="H16" s="2" t="s">
        <v>16</v>
      </c>
    </row>
    <row r="17" spans="2:15">
      <c r="B17" s="1">
        <v>42</v>
      </c>
      <c r="C17" s="1">
        <v>1553</v>
      </c>
      <c r="D17">
        <f t="shared" si="0"/>
        <v>1533.54</v>
      </c>
      <c r="E17" s="9">
        <f t="shared" si="1"/>
        <v>378.69160000000142</v>
      </c>
    </row>
    <row r="18" spans="2:15">
      <c r="B18" s="1">
        <v>49</v>
      </c>
      <c r="C18" s="1">
        <v>1606</v>
      </c>
      <c r="D18">
        <f t="shared" si="0"/>
        <v>1535.43</v>
      </c>
      <c r="E18" s="9">
        <f t="shared" si="1"/>
        <v>4980.1248999999907</v>
      </c>
    </row>
    <row r="19" spans="2:15">
      <c r="B19" s="1">
        <v>30</v>
      </c>
      <c r="C19" s="1">
        <v>1621</v>
      </c>
      <c r="D19">
        <f t="shared" si="0"/>
        <v>1530.3</v>
      </c>
      <c r="E19" s="9">
        <f t="shared" si="1"/>
        <v>8226.4900000000089</v>
      </c>
    </row>
    <row r="20" spans="2:15">
      <c r="B20" s="1">
        <v>37</v>
      </c>
      <c r="C20" s="1">
        <v>1626</v>
      </c>
      <c r="D20">
        <f t="shared" si="0"/>
        <v>1532.19</v>
      </c>
      <c r="E20" s="9">
        <f t="shared" si="1"/>
        <v>8800.3160999999891</v>
      </c>
    </row>
    <row r="21" spans="2:15">
      <c r="B21" s="1">
        <v>40</v>
      </c>
      <c r="C21" s="1">
        <v>1638</v>
      </c>
      <c r="D21">
        <f t="shared" si="0"/>
        <v>1533</v>
      </c>
      <c r="E21" s="9">
        <f t="shared" si="1"/>
        <v>11025</v>
      </c>
    </row>
    <row r="22" spans="2:15">
      <c r="B22" s="1">
        <v>72</v>
      </c>
      <c r="C22" s="1">
        <v>1640</v>
      </c>
      <c r="D22">
        <f t="shared" si="0"/>
        <v>1541.64</v>
      </c>
      <c r="E22" s="9">
        <f t="shared" si="1"/>
        <v>9674.6895999999797</v>
      </c>
    </row>
    <row r="23" spans="2:15">
      <c r="E23" s="25">
        <f>SUM(E3:E22)</f>
        <v>82249.259300000063</v>
      </c>
    </row>
    <row r="25" spans="2:15">
      <c r="B25" t="s">
        <v>15</v>
      </c>
    </row>
    <row r="32" spans="2:15">
      <c r="I32" t="s">
        <v>66</v>
      </c>
      <c r="J32" t="s">
        <v>12</v>
      </c>
      <c r="K32">
        <v>1522.2</v>
      </c>
      <c r="L32" t="s">
        <v>13</v>
      </c>
      <c r="M32">
        <v>0.27</v>
      </c>
      <c r="N32" t="s">
        <v>14</v>
      </c>
      <c r="O32" t="s">
        <v>9</v>
      </c>
    </row>
    <row r="34" spans="8:16">
      <c r="I34" t="s">
        <v>2</v>
      </c>
      <c r="J34" t="s">
        <v>64</v>
      </c>
    </row>
    <row r="35" spans="8:16">
      <c r="I35" t="s">
        <v>1</v>
      </c>
      <c r="J35" t="s">
        <v>65</v>
      </c>
    </row>
    <row r="38" spans="8:16">
      <c r="H38" t="s">
        <v>67</v>
      </c>
      <c r="I38" t="s">
        <v>9</v>
      </c>
      <c r="J38" t="s">
        <v>12</v>
      </c>
      <c r="K38">
        <v>40</v>
      </c>
      <c r="M38" t="s">
        <v>11</v>
      </c>
      <c r="O38" s="16">
        <f>K32+K38*M32</f>
        <v>1533</v>
      </c>
      <c r="P38" t="s">
        <v>10</v>
      </c>
    </row>
    <row r="39" spans="8:16">
      <c r="H39" t="s">
        <v>67</v>
      </c>
      <c r="I39" t="s">
        <v>9</v>
      </c>
      <c r="J39" t="s">
        <v>12</v>
      </c>
      <c r="K39">
        <v>60</v>
      </c>
      <c r="M39" t="s">
        <v>11</v>
      </c>
      <c r="O39" s="16">
        <f>K32+M32*K39</f>
        <v>1538.4</v>
      </c>
      <c r="P39" t="s">
        <v>10</v>
      </c>
    </row>
    <row r="41" spans="8:16">
      <c r="H41" t="s">
        <v>0</v>
      </c>
      <c r="I41" t="s">
        <v>70</v>
      </c>
      <c r="J41">
        <f>COUNT(B3:B22)</f>
        <v>20</v>
      </c>
    </row>
    <row r="42" spans="8:16">
      <c r="I42" t="s">
        <v>74</v>
      </c>
      <c r="J42">
        <f>AVERAGE(C3:C22)</f>
        <v>1534.4</v>
      </c>
    </row>
    <row r="43" spans="8:16">
      <c r="I43" t="s">
        <v>69</v>
      </c>
      <c r="J43" s="9">
        <f>SQRT(E23/(J41-2))</f>
        <v>67.597361593811101</v>
      </c>
    </row>
    <row r="45" spans="8:16">
      <c r="I45" t="s">
        <v>71</v>
      </c>
      <c r="J45" s="8">
        <f>J43/J42</f>
        <v>4.405458915133674E-2</v>
      </c>
    </row>
    <row r="47" spans="8:16" ht="15.5" customHeight="1">
      <c r="I47" t="s">
        <v>72</v>
      </c>
    </row>
    <row r="49" spans="9:9">
      <c r="I49" t="s">
        <v>73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21D1-C68D-40B3-9805-862E9E0A3CD6}">
  <dimension ref="B2:T39"/>
  <sheetViews>
    <sheetView topLeftCell="D18" workbookViewId="0">
      <selection activeCell="F26" sqref="F26:L26"/>
    </sheetView>
  </sheetViews>
  <sheetFormatPr defaultRowHeight="14.5"/>
  <cols>
    <col min="2" max="2" width="14.1796875" customWidth="1"/>
    <col min="3" max="3" width="11.54296875" customWidth="1"/>
    <col min="10" max="10" width="10.36328125" customWidth="1"/>
    <col min="13" max="13" width="29.90625" customWidth="1"/>
  </cols>
  <sheetData>
    <row r="2" spans="2:5" ht="28.5" customHeight="1">
      <c r="B2" s="12" t="s">
        <v>33</v>
      </c>
      <c r="C2" s="12" t="s">
        <v>32</v>
      </c>
    </row>
    <row r="3" spans="2:5">
      <c r="B3" s="11">
        <v>25</v>
      </c>
      <c r="C3" s="11">
        <v>2100</v>
      </c>
    </row>
    <row r="4" spans="2:5">
      <c r="B4" s="11">
        <v>22</v>
      </c>
      <c r="C4" s="11">
        <v>1325</v>
      </c>
    </row>
    <row r="5" spans="2:5">
      <c r="B5" s="11">
        <v>20</v>
      </c>
      <c r="C5" s="11">
        <v>800</v>
      </c>
    </row>
    <row r="6" spans="2:5">
      <c r="B6" s="11">
        <v>19</v>
      </c>
      <c r="C6" s="11">
        <v>700</v>
      </c>
    </row>
    <row r="7" spans="2:5">
      <c r="B7" s="11">
        <v>17</v>
      </c>
      <c r="C7" s="11">
        <v>550</v>
      </c>
    </row>
    <row r="8" spans="2:5">
      <c r="B8" s="11">
        <v>17</v>
      </c>
      <c r="C8" s="11">
        <v>460</v>
      </c>
    </row>
    <row r="9" spans="2:5">
      <c r="B9" s="11">
        <v>16</v>
      </c>
      <c r="C9" s="11">
        <v>400</v>
      </c>
    </row>
    <row r="10" spans="2:5">
      <c r="B10" s="11">
        <v>13</v>
      </c>
      <c r="C10" s="11">
        <v>220</v>
      </c>
      <c r="E10" s="2" t="s">
        <v>3</v>
      </c>
    </row>
    <row r="11" spans="2:5">
      <c r="B11" s="11">
        <v>12</v>
      </c>
      <c r="C11" s="11">
        <v>170</v>
      </c>
    </row>
    <row r="12" spans="2:5">
      <c r="B12" s="11">
        <v>10</v>
      </c>
      <c r="C12" s="11">
        <v>100</v>
      </c>
    </row>
    <row r="13" spans="2:5">
      <c r="B13" s="11">
        <v>10</v>
      </c>
      <c r="C13" s="11">
        <v>125</v>
      </c>
    </row>
    <row r="14" spans="2:5">
      <c r="B14" s="11">
        <v>10</v>
      </c>
      <c r="C14" s="11">
        <v>89</v>
      </c>
    </row>
    <row r="15" spans="2:5">
      <c r="B15" s="11">
        <v>9</v>
      </c>
      <c r="C15" s="11">
        <v>79</v>
      </c>
    </row>
    <row r="16" spans="2:5">
      <c r="B16" s="11">
        <v>9</v>
      </c>
      <c r="C16" s="11">
        <v>70</v>
      </c>
    </row>
    <row r="17" spans="2:20">
      <c r="B17" s="11">
        <v>8</v>
      </c>
      <c r="C17" s="11">
        <v>59</v>
      </c>
    </row>
    <row r="18" spans="2:20">
      <c r="B18" s="11">
        <v>8</v>
      </c>
      <c r="C18" s="11">
        <v>55</v>
      </c>
    </row>
    <row r="19" spans="2:20">
      <c r="B19" s="11">
        <v>8</v>
      </c>
      <c r="C19" s="11">
        <v>51</v>
      </c>
    </row>
    <row r="20" spans="2:20">
      <c r="B20" s="11">
        <v>7</v>
      </c>
      <c r="C20" s="11">
        <v>60</v>
      </c>
    </row>
    <row r="21" spans="2:20">
      <c r="B21" s="11">
        <v>7</v>
      </c>
      <c r="C21" s="11">
        <v>39</v>
      </c>
    </row>
    <row r="22" spans="2:20">
      <c r="B22" s="11">
        <v>7</v>
      </c>
      <c r="C22" s="11">
        <v>34</v>
      </c>
    </row>
    <row r="23" spans="2:20">
      <c r="B23" s="11">
        <v>6</v>
      </c>
      <c r="C23" s="11">
        <v>39</v>
      </c>
    </row>
    <row r="24" spans="2:20">
      <c r="B24" s="11">
        <v>6</v>
      </c>
      <c r="C24" s="11">
        <v>25</v>
      </c>
    </row>
    <row r="25" spans="2:20">
      <c r="B25" s="11">
        <v>6</v>
      </c>
      <c r="C25" s="11">
        <v>18</v>
      </c>
    </row>
    <row r="26" spans="2:20">
      <c r="B26" s="11">
        <v>5</v>
      </c>
      <c r="C26" s="11">
        <v>24</v>
      </c>
      <c r="F26" t="s">
        <v>8</v>
      </c>
      <c r="G26" t="s">
        <v>12</v>
      </c>
      <c r="H26">
        <v>-475.51</v>
      </c>
      <c r="I26" s="24" t="s">
        <v>13</v>
      </c>
      <c r="J26">
        <v>71.259</v>
      </c>
      <c r="K26" t="s">
        <v>14</v>
      </c>
      <c r="L26" t="s">
        <v>9</v>
      </c>
      <c r="N26" t="s">
        <v>8</v>
      </c>
      <c r="O26" t="s">
        <v>12</v>
      </c>
      <c r="P26">
        <v>0.1779</v>
      </c>
      <c r="Q26" t="s">
        <v>14</v>
      </c>
      <c r="R26" t="s">
        <v>9</v>
      </c>
      <c r="S26" t="s">
        <v>31</v>
      </c>
      <c r="T26">
        <v>2.8060999999999998</v>
      </c>
    </row>
    <row r="27" spans="2:20">
      <c r="B27" s="11">
        <v>5</v>
      </c>
      <c r="C27" s="11">
        <v>8</v>
      </c>
    </row>
    <row r="28" spans="2:20">
      <c r="B28" s="11">
        <v>4</v>
      </c>
      <c r="C28" s="11">
        <v>16</v>
      </c>
      <c r="F28" t="s">
        <v>2</v>
      </c>
      <c r="G28" t="s">
        <v>30</v>
      </c>
      <c r="N28" t="s">
        <v>2</v>
      </c>
      <c r="O28" t="s">
        <v>29</v>
      </c>
    </row>
    <row r="29" spans="2:20">
      <c r="B29" s="11">
        <v>4</v>
      </c>
      <c r="C29" s="11">
        <v>11</v>
      </c>
      <c r="F29" t="s">
        <v>1</v>
      </c>
      <c r="G29" t="s">
        <v>75</v>
      </c>
      <c r="N29" t="s">
        <v>1</v>
      </c>
      <c r="O29" t="s">
        <v>20</v>
      </c>
    </row>
    <row r="30" spans="2:20">
      <c r="B30" s="11">
        <v>4</v>
      </c>
      <c r="C30" s="11">
        <v>9</v>
      </c>
      <c r="F30" t="s">
        <v>28</v>
      </c>
      <c r="G30" t="s">
        <v>76</v>
      </c>
      <c r="N30" t="s">
        <v>28</v>
      </c>
      <c r="O30" t="s">
        <v>77</v>
      </c>
    </row>
    <row r="32" spans="2:20">
      <c r="E32" s="2" t="s">
        <v>16</v>
      </c>
      <c r="F32" t="s">
        <v>27</v>
      </c>
    </row>
    <row r="34" spans="5:12">
      <c r="F34" t="s">
        <v>9</v>
      </c>
      <c r="G34" t="s">
        <v>12</v>
      </c>
      <c r="H34">
        <v>21</v>
      </c>
      <c r="J34" t="s">
        <v>26</v>
      </c>
      <c r="K34">
        <f>P26*H34^T26</f>
        <v>912.96790641410382</v>
      </c>
      <c r="L34" t="s">
        <v>25</v>
      </c>
    </row>
    <row r="35" spans="5:12">
      <c r="F35" t="s">
        <v>9</v>
      </c>
      <c r="G35" t="s">
        <v>12</v>
      </c>
      <c r="H35">
        <v>23</v>
      </c>
      <c r="J35" t="s">
        <v>26</v>
      </c>
      <c r="K35">
        <f>P26*H35^T26</f>
        <v>1178.4751487991348</v>
      </c>
      <c r="L35" t="s">
        <v>25</v>
      </c>
    </row>
    <row r="37" spans="5:12">
      <c r="E37" s="2" t="s">
        <v>0</v>
      </c>
      <c r="F37" t="s">
        <v>24</v>
      </c>
      <c r="G37">
        <f>(J26*20)/(H26+J26*20)</f>
        <v>1.5007107732159592</v>
      </c>
      <c r="H37" s="10">
        <v>1.4999999999999999E-2</v>
      </c>
      <c r="J37" t="s">
        <v>23</v>
      </c>
    </row>
    <row r="38" spans="5:12">
      <c r="F38" t="s">
        <v>22</v>
      </c>
      <c r="G38" t="s">
        <v>21</v>
      </c>
      <c r="H38" s="8">
        <v>2.81E-2</v>
      </c>
      <c r="J38" t="s">
        <v>20</v>
      </c>
    </row>
    <row r="39" spans="5:12">
      <c r="G39" t="s">
        <v>19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5ED6C-D5DC-49F4-951F-96161AB5708D}">
  <dimension ref="B2:Y67"/>
  <sheetViews>
    <sheetView topLeftCell="A18" workbookViewId="0">
      <selection activeCell="S35" sqref="S35"/>
    </sheetView>
  </sheetViews>
  <sheetFormatPr defaultRowHeight="14.5"/>
  <cols>
    <col min="2" max="2" width="15" customWidth="1"/>
    <col min="3" max="3" width="18.26953125" bestFit="1" customWidth="1"/>
    <col min="4" max="4" width="11" bestFit="1" customWidth="1"/>
  </cols>
  <sheetData>
    <row r="2" spans="2:7" ht="52.5">
      <c r="B2" s="13" t="s">
        <v>36</v>
      </c>
      <c r="C2" s="13" t="s">
        <v>35</v>
      </c>
      <c r="D2" s="13" t="s">
        <v>34</v>
      </c>
    </row>
    <row r="3" spans="2:7">
      <c r="B3" s="6">
        <v>19</v>
      </c>
      <c r="C3" s="6">
        <v>56</v>
      </c>
      <c r="D3" s="6">
        <v>167500</v>
      </c>
    </row>
    <row r="4" spans="2:7">
      <c r="B4" s="6">
        <v>12</v>
      </c>
      <c r="C4" s="6">
        <v>26</v>
      </c>
      <c r="D4" s="6">
        <v>92260</v>
      </c>
    </row>
    <row r="5" spans="2:7">
      <c r="B5" s="6">
        <v>12</v>
      </c>
      <c r="C5" s="6">
        <v>28</v>
      </c>
      <c r="D5" s="6">
        <v>93700</v>
      </c>
    </row>
    <row r="6" spans="2:7">
      <c r="B6" s="6">
        <v>16</v>
      </c>
      <c r="C6" s="6">
        <v>46</v>
      </c>
      <c r="D6" s="6">
        <v>172200</v>
      </c>
    </row>
    <row r="7" spans="2:7">
      <c r="B7" s="6">
        <v>19</v>
      </c>
      <c r="C7" s="6">
        <v>53</v>
      </c>
      <c r="D7" s="6">
        <v>1888600</v>
      </c>
    </row>
    <row r="8" spans="2:7">
      <c r="B8" s="6">
        <v>12</v>
      </c>
      <c r="C8" s="6">
        <v>5</v>
      </c>
      <c r="D8" s="6">
        <v>59900</v>
      </c>
    </row>
    <row r="9" spans="2:7">
      <c r="B9" s="6">
        <v>15</v>
      </c>
      <c r="C9" s="6">
        <v>45</v>
      </c>
      <c r="D9" s="6">
        <v>101500</v>
      </c>
    </row>
    <row r="10" spans="2:7">
      <c r="B10" s="6">
        <v>12</v>
      </c>
      <c r="C10" s="6">
        <v>17</v>
      </c>
      <c r="D10" s="6">
        <v>96000</v>
      </c>
    </row>
    <row r="11" spans="2:7">
      <c r="B11" s="6">
        <v>12</v>
      </c>
      <c r="C11" s="6">
        <v>15</v>
      </c>
      <c r="D11" s="6">
        <v>81380</v>
      </c>
      <c r="G11" s="2" t="s">
        <v>84</v>
      </c>
    </row>
    <row r="12" spans="2:7">
      <c r="B12" s="6">
        <v>12</v>
      </c>
      <c r="C12" s="6">
        <v>9</v>
      </c>
      <c r="D12" s="6">
        <v>75400</v>
      </c>
    </row>
    <row r="13" spans="2:7">
      <c r="B13" s="6">
        <v>17</v>
      </c>
      <c r="C13" s="6">
        <v>1</v>
      </c>
      <c r="D13" s="6">
        <v>82300</v>
      </c>
    </row>
    <row r="14" spans="2:7">
      <c r="B14" s="6">
        <v>15</v>
      </c>
      <c r="C14" s="6">
        <v>30</v>
      </c>
      <c r="D14" s="6">
        <v>117000</v>
      </c>
    </row>
    <row r="15" spans="2:7">
      <c r="B15" s="6">
        <v>16</v>
      </c>
      <c r="C15" s="6">
        <v>41</v>
      </c>
      <c r="D15" s="6">
        <v>160020</v>
      </c>
    </row>
    <row r="16" spans="2:7">
      <c r="B16" s="6">
        <v>15</v>
      </c>
      <c r="C16" s="6">
        <v>11</v>
      </c>
      <c r="D16" s="6">
        <v>73150</v>
      </c>
    </row>
    <row r="17" spans="2:25">
      <c r="B17" s="6">
        <v>12</v>
      </c>
      <c r="C17" s="6">
        <v>18</v>
      </c>
      <c r="D17" s="6">
        <v>83700</v>
      </c>
    </row>
    <row r="18" spans="2:25">
      <c r="B18" s="6">
        <v>12</v>
      </c>
      <c r="C18" s="6">
        <v>20</v>
      </c>
      <c r="D18" s="6">
        <v>88800</v>
      </c>
    </row>
    <row r="19" spans="2:25">
      <c r="B19" s="6">
        <v>16</v>
      </c>
      <c r="C19" s="6">
        <v>23</v>
      </c>
      <c r="D19" s="6">
        <v>185000</v>
      </c>
    </row>
    <row r="20" spans="2:25">
      <c r="B20" s="6">
        <v>8</v>
      </c>
      <c r="C20" s="6">
        <v>3</v>
      </c>
      <c r="D20" s="6">
        <v>52100</v>
      </c>
    </row>
    <row r="21" spans="2:25">
      <c r="B21" s="6">
        <v>11</v>
      </c>
      <c r="C21" s="6">
        <v>40</v>
      </c>
      <c r="D21" s="6">
        <v>78000</v>
      </c>
    </row>
    <row r="22" spans="2:25">
      <c r="B22" s="6">
        <v>17</v>
      </c>
      <c r="C22" s="6">
        <v>42</v>
      </c>
      <c r="D22" s="6">
        <v>121000</v>
      </c>
    </row>
    <row r="23" spans="2:25">
      <c r="B23" s="6">
        <v>12</v>
      </c>
      <c r="C23" s="6">
        <v>13</v>
      </c>
      <c r="D23" s="6">
        <v>77900</v>
      </c>
    </row>
    <row r="24" spans="2:25">
      <c r="B24" s="6">
        <v>9</v>
      </c>
      <c r="C24" s="6">
        <v>39</v>
      </c>
      <c r="D24" s="6">
        <v>77900</v>
      </c>
    </row>
    <row r="25" spans="2:25">
      <c r="B25" s="6">
        <v>16</v>
      </c>
      <c r="C25" s="6">
        <v>43</v>
      </c>
      <c r="D25" s="6">
        <v>192000</v>
      </c>
    </row>
    <row r="26" spans="2:25">
      <c r="B26" s="6">
        <v>12</v>
      </c>
      <c r="C26" s="6">
        <v>15</v>
      </c>
      <c r="D26" s="6">
        <v>86300</v>
      </c>
    </row>
    <row r="27" spans="2:25">
      <c r="B27" s="6">
        <v>13</v>
      </c>
      <c r="C27" s="6">
        <v>14</v>
      </c>
      <c r="D27" s="6">
        <v>89000</v>
      </c>
      <c r="H27" t="s">
        <v>8</v>
      </c>
      <c r="I27" t="s">
        <v>12</v>
      </c>
      <c r="J27">
        <v>-483027</v>
      </c>
      <c r="K27" s="24" t="s">
        <v>13</v>
      </c>
      <c r="L27">
        <v>47805</v>
      </c>
      <c r="M27" t="s">
        <v>14</v>
      </c>
      <c r="N27" t="s">
        <v>9</v>
      </c>
      <c r="S27" t="s">
        <v>8</v>
      </c>
      <c r="T27" t="s">
        <v>12</v>
      </c>
      <c r="U27">
        <v>14325</v>
      </c>
      <c r="V27" t="s">
        <v>14</v>
      </c>
      <c r="W27" s="26">
        <f>EXP(0.1488)</f>
        <v>1.1604408778231561</v>
      </c>
      <c r="X27" t="s">
        <v>31</v>
      </c>
      <c r="Y27" t="s">
        <v>9</v>
      </c>
    </row>
    <row r="28" spans="2:25">
      <c r="B28" s="6">
        <v>10</v>
      </c>
      <c r="C28" s="6">
        <v>22</v>
      </c>
      <c r="D28" s="6">
        <v>63500</v>
      </c>
    </row>
    <row r="29" spans="2:25">
      <c r="B29" s="6">
        <v>8</v>
      </c>
      <c r="C29" s="6">
        <v>22</v>
      </c>
      <c r="D29" s="6">
        <v>68500</v>
      </c>
      <c r="H29" t="s">
        <v>2</v>
      </c>
      <c r="I29" t="s">
        <v>78</v>
      </c>
      <c r="S29" t="s">
        <v>2</v>
      </c>
      <c r="T29" t="s">
        <v>83</v>
      </c>
    </row>
    <row r="30" spans="2:25">
      <c r="B30" s="6">
        <v>17</v>
      </c>
      <c r="C30" s="6">
        <v>41</v>
      </c>
      <c r="D30" s="6">
        <v>146700</v>
      </c>
      <c r="H30" t="s">
        <v>1</v>
      </c>
      <c r="I30" t="s">
        <v>79</v>
      </c>
      <c r="S30" t="s">
        <v>1</v>
      </c>
      <c r="T30" t="s">
        <v>81</v>
      </c>
    </row>
    <row r="31" spans="2:25">
      <c r="B31" s="6">
        <v>13</v>
      </c>
      <c r="C31" s="6">
        <v>32</v>
      </c>
      <c r="D31" s="6">
        <v>97600</v>
      </c>
      <c r="H31" t="s">
        <v>28</v>
      </c>
      <c r="I31" t="s">
        <v>80</v>
      </c>
      <c r="S31" t="s">
        <v>28</v>
      </c>
      <c r="T31" t="s">
        <v>82</v>
      </c>
    </row>
    <row r="32" spans="2:25">
      <c r="B32" s="6">
        <v>15</v>
      </c>
      <c r="C32" s="6">
        <v>33</v>
      </c>
      <c r="D32" s="6">
        <v>101250</v>
      </c>
    </row>
    <row r="33" spans="2:8">
      <c r="H33" t="s">
        <v>85</v>
      </c>
    </row>
    <row r="35" spans="2:8" ht="26.5">
      <c r="B35" s="13" t="s">
        <v>36</v>
      </c>
      <c r="C35" s="13" t="s">
        <v>34</v>
      </c>
      <c r="D35" s="29" t="s">
        <v>66</v>
      </c>
      <c r="G35" s="2" t="s">
        <v>0</v>
      </c>
    </row>
    <row r="36" spans="2:8">
      <c r="B36" s="6">
        <v>19</v>
      </c>
      <c r="C36" s="6">
        <v>167500</v>
      </c>
      <c r="D36" s="29">
        <f>$U$27*$W$27^B36</f>
        <v>242064.99454578781</v>
      </c>
    </row>
    <row r="37" spans="2:8">
      <c r="B37" s="6">
        <v>12</v>
      </c>
      <c r="C37" s="6">
        <v>92260</v>
      </c>
      <c r="D37" s="29">
        <f t="shared" ref="D37:D67" si="0">$U$27*$W$27^B37</f>
        <v>85422.220708620735</v>
      </c>
    </row>
    <row r="38" spans="2:8">
      <c r="B38" s="6">
        <v>12</v>
      </c>
      <c r="C38" s="6">
        <v>93700</v>
      </c>
      <c r="D38" s="29">
        <f t="shared" si="0"/>
        <v>85422.220708620735</v>
      </c>
    </row>
    <row r="39" spans="2:8">
      <c r="B39" s="6">
        <v>16</v>
      </c>
      <c r="C39" s="6">
        <v>172200</v>
      </c>
      <c r="D39" s="29">
        <f t="shared" si="0"/>
        <v>154904.1072555212</v>
      </c>
    </row>
    <row r="40" spans="2:8">
      <c r="B40" s="6">
        <v>19</v>
      </c>
      <c r="C40" s="6">
        <v>1888600</v>
      </c>
      <c r="D40" s="29">
        <f t="shared" si="0"/>
        <v>242064.99454578781</v>
      </c>
    </row>
    <row r="41" spans="2:8">
      <c r="B41" s="6">
        <v>12</v>
      </c>
      <c r="C41" s="6">
        <v>59900</v>
      </c>
      <c r="D41" s="29">
        <f t="shared" si="0"/>
        <v>85422.220708620735</v>
      </c>
    </row>
    <row r="42" spans="2:8">
      <c r="B42" s="6">
        <v>15</v>
      </c>
      <c r="C42" s="6">
        <v>101500</v>
      </c>
      <c r="D42" s="29">
        <f t="shared" si="0"/>
        <v>133487.28937065901</v>
      </c>
    </row>
    <row r="43" spans="2:8">
      <c r="B43" s="6">
        <v>12</v>
      </c>
      <c r="C43" s="6">
        <v>96000</v>
      </c>
      <c r="D43" s="29">
        <f t="shared" si="0"/>
        <v>85422.220708620735</v>
      </c>
    </row>
    <row r="44" spans="2:8">
      <c r="B44" s="6">
        <v>12</v>
      </c>
      <c r="C44" s="6">
        <v>81380</v>
      </c>
      <c r="D44" s="29">
        <f t="shared" si="0"/>
        <v>85422.220708620735</v>
      </c>
    </row>
    <row r="45" spans="2:8">
      <c r="B45" s="6">
        <v>12</v>
      </c>
      <c r="C45" s="6">
        <v>75400</v>
      </c>
      <c r="D45" s="29">
        <f t="shared" si="0"/>
        <v>85422.220708620735</v>
      </c>
    </row>
    <row r="46" spans="2:8">
      <c r="B46" s="6">
        <v>17</v>
      </c>
      <c r="C46" s="6">
        <v>82300</v>
      </c>
      <c r="D46" s="29">
        <f t="shared" si="0"/>
        <v>179757.05820200936</v>
      </c>
    </row>
    <row r="47" spans="2:8">
      <c r="B47" s="6">
        <v>15</v>
      </c>
      <c r="C47" s="6">
        <v>117000</v>
      </c>
      <c r="D47" s="29">
        <f t="shared" si="0"/>
        <v>133487.28937065901</v>
      </c>
    </row>
    <row r="48" spans="2:8">
      <c r="B48" s="6">
        <v>16</v>
      </c>
      <c r="C48" s="6">
        <v>160020</v>
      </c>
      <c r="D48" s="29">
        <f t="shared" si="0"/>
        <v>154904.1072555212</v>
      </c>
    </row>
    <row r="49" spans="2:4">
      <c r="B49" s="6">
        <v>15</v>
      </c>
      <c r="C49" s="6">
        <v>73150</v>
      </c>
      <c r="D49" s="29">
        <f t="shared" si="0"/>
        <v>133487.28937065901</v>
      </c>
    </row>
    <row r="50" spans="2:4">
      <c r="B50" s="6">
        <v>12</v>
      </c>
      <c r="C50" s="6">
        <v>83700</v>
      </c>
      <c r="D50" s="29">
        <f t="shared" si="0"/>
        <v>85422.220708620735</v>
      </c>
    </row>
    <row r="51" spans="2:4">
      <c r="B51" s="6">
        <v>12</v>
      </c>
      <c r="C51" s="6">
        <v>88800</v>
      </c>
      <c r="D51" s="29">
        <f t="shared" si="0"/>
        <v>85422.220708620735</v>
      </c>
    </row>
    <row r="52" spans="2:4">
      <c r="B52" s="6">
        <v>16</v>
      </c>
      <c r="C52" s="6">
        <v>185000</v>
      </c>
      <c r="D52" s="29">
        <f t="shared" si="0"/>
        <v>154904.1072555212</v>
      </c>
    </row>
    <row r="53" spans="2:4">
      <c r="B53" s="6">
        <v>8</v>
      </c>
      <c r="C53" s="6">
        <v>52100</v>
      </c>
      <c r="D53" s="29">
        <f t="shared" si="0"/>
        <v>47106.277038578854</v>
      </c>
    </row>
    <row r="54" spans="2:4">
      <c r="B54" s="6">
        <v>11</v>
      </c>
      <c r="C54" s="6">
        <v>78000</v>
      </c>
      <c r="D54" s="29">
        <f t="shared" si="0"/>
        <v>73611.867990088635</v>
      </c>
    </row>
    <row r="55" spans="2:4">
      <c r="B55" s="6">
        <v>17</v>
      </c>
      <c r="C55" s="6">
        <v>121000</v>
      </c>
      <c r="D55" s="29">
        <f t="shared" si="0"/>
        <v>179757.05820200936</v>
      </c>
    </row>
    <row r="56" spans="2:4">
      <c r="B56" s="6">
        <v>12</v>
      </c>
      <c r="C56" s="6">
        <v>77900</v>
      </c>
      <c r="D56" s="29">
        <f t="shared" si="0"/>
        <v>85422.220708620735</v>
      </c>
    </row>
    <row r="57" spans="2:4">
      <c r="B57" s="6">
        <v>9</v>
      </c>
      <c r="C57" s="6">
        <v>77900</v>
      </c>
      <c r="D57" s="29">
        <f t="shared" si="0"/>
        <v>54664.049477629225</v>
      </c>
    </row>
    <row r="58" spans="2:4">
      <c r="B58" s="6">
        <v>16</v>
      </c>
      <c r="C58" s="6">
        <v>192000</v>
      </c>
      <c r="D58" s="29">
        <f t="shared" si="0"/>
        <v>154904.1072555212</v>
      </c>
    </row>
    <row r="59" spans="2:4">
      <c r="B59" s="6">
        <v>12</v>
      </c>
      <c r="C59" s="6">
        <v>86300</v>
      </c>
      <c r="D59" s="29">
        <f t="shared" si="0"/>
        <v>85422.220708620735</v>
      </c>
    </row>
    <row r="60" spans="2:4">
      <c r="B60" s="6">
        <v>13</v>
      </c>
      <c r="C60" s="6">
        <v>89000</v>
      </c>
      <c r="D60" s="29">
        <f t="shared" si="0"/>
        <v>99127.436784715246</v>
      </c>
    </row>
    <row r="61" spans="2:4">
      <c r="B61" s="6">
        <v>10</v>
      </c>
      <c r="C61" s="6">
        <v>63500</v>
      </c>
      <c r="D61" s="29">
        <f t="shared" si="0"/>
        <v>63434.397561188489</v>
      </c>
    </row>
    <row r="62" spans="2:4">
      <c r="B62" s="6">
        <v>8</v>
      </c>
      <c r="C62" s="6">
        <v>68500</v>
      </c>
      <c r="D62" s="29">
        <f t="shared" si="0"/>
        <v>47106.277038578854</v>
      </c>
    </row>
    <row r="63" spans="2:4">
      <c r="B63" s="6">
        <v>17</v>
      </c>
      <c r="C63" s="6">
        <v>146700</v>
      </c>
      <c r="D63" s="29">
        <f t="shared" si="0"/>
        <v>179757.05820200936</v>
      </c>
    </row>
    <row r="64" spans="2:4">
      <c r="B64" s="6">
        <v>13</v>
      </c>
      <c r="C64" s="6">
        <v>97600</v>
      </c>
      <c r="D64" s="29">
        <f t="shared" si="0"/>
        <v>99127.436784715246</v>
      </c>
    </row>
    <row r="65" spans="2:4">
      <c r="B65" s="6">
        <v>15</v>
      </c>
      <c r="C65" s="6">
        <v>101250</v>
      </c>
      <c r="D65" s="29">
        <f t="shared" si="0"/>
        <v>133487.28937065901</v>
      </c>
    </row>
    <row r="66" spans="2:4">
      <c r="B66" s="27">
        <v>20</v>
      </c>
      <c r="C66" s="28"/>
      <c r="D66" s="29">
        <f t="shared" si="0"/>
        <v>280902.11476097145</v>
      </c>
    </row>
    <row r="67" spans="2:4">
      <c r="B67" s="27">
        <v>25</v>
      </c>
      <c r="C67" s="28"/>
      <c r="D67" s="29">
        <f t="shared" si="0"/>
        <v>591112.44560584961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65E93-64BD-4259-8733-83DA5550F05A}">
  <dimension ref="B2:AA79"/>
  <sheetViews>
    <sheetView workbookViewId="0">
      <selection activeCell="C69" sqref="C69"/>
    </sheetView>
  </sheetViews>
  <sheetFormatPr defaultRowHeight="14.5"/>
  <cols>
    <col min="3" max="3" width="20.54296875" customWidth="1"/>
    <col min="6" max="6" width="16.54296875" customWidth="1"/>
    <col min="7" max="7" width="15.6328125" customWidth="1"/>
    <col min="9" max="9" width="12.453125" customWidth="1"/>
    <col min="10" max="10" width="11" bestFit="1" customWidth="1"/>
    <col min="15" max="15" width="12.81640625" customWidth="1"/>
    <col min="16" max="16" width="10" bestFit="1" customWidth="1"/>
  </cols>
  <sheetData>
    <row r="2" spans="2:12" ht="29">
      <c r="B2" s="7" t="s">
        <v>57</v>
      </c>
      <c r="C2" s="22" t="s">
        <v>56</v>
      </c>
    </row>
    <row r="3" spans="2:12">
      <c r="B3" s="20">
        <v>1989</v>
      </c>
      <c r="C3" s="30">
        <v>64116.25</v>
      </c>
      <c r="D3" s="2"/>
      <c r="E3" s="2"/>
      <c r="F3" s="2"/>
      <c r="G3" s="2"/>
    </row>
    <row r="4" spans="2:12">
      <c r="B4" s="20">
        <v>1990</v>
      </c>
      <c r="C4" s="30">
        <v>72366.25</v>
      </c>
      <c r="D4" s="2"/>
      <c r="E4" s="2"/>
      <c r="F4" s="2"/>
      <c r="G4" s="2"/>
    </row>
    <row r="5" spans="2:12">
      <c r="B5" s="20">
        <v>1991</v>
      </c>
      <c r="C5" s="30">
        <v>111398.5</v>
      </c>
      <c r="D5" s="2"/>
      <c r="E5" s="2"/>
      <c r="F5" s="2"/>
      <c r="G5" s="2"/>
    </row>
    <row r="6" spans="2:12">
      <c r="B6" s="20">
        <v>1992</v>
      </c>
      <c r="C6" s="30">
        <v>135551</v>
      </c>
      <c r="D6" s="2"/>
      <c r="E6" s="2"/>
      <c r="F6" s="2"/>
      <c r="G6" s="2"/>
    </row>
    <row r="7" spans="2:12">
      <c r="B7" s="20">
        <v>1993</v>
      </c>
      <c r="C7" s="30">
        <v>140031.75</v>
      </c>
      <c r="D7" s="2"/>
      <c r="E7" s="2"/>
      <c r="F7" s="2"/>
      <c r="G7" s="2"/>
    </row>
    <row r="8" spans="2:12">
      <c r="B8" s="20">
        <v>1994</v>
      </c>
      <c r="C8" s="30">
        <v>148584.875</v>
      </c>
      <c r="D8" s="2"/>
      <c r="E8" s="2"/>
      <c r="F8" s="2"/>
      <c r="G8" s="2"/>
      <c r="I8" s="2" t="s">
        <v>7</v>
      </c>
    </row>
    <row r="9" spans="2:12">
      <c r="B9" s="20">
        <v>1995</v>
      </c>
      <c r="C9" s="30">
        <v>133878.625</v>
      </c>
      <c r="D9" s="2"/>
      <c r="E9" s="2"/>
      <c r="F9" s="2"/>
      <c r="G9" s="2"/>
      <c r="K9" s="19"/>
      <c r="L9" s="18"/>
    </row>
    <row r="10" spans="2:12">
      <c r="B10" s="20">
        <v>1996</v>
      </c>
      <c r="C10" s="30">
        <v>147120.875</v>
      </c>
      <c r="D10" s="2"/>
      <c r="E10" s="2"/>
      <c r="F10" s="2"/>
      <c r="G10" s="2"/>
      <c r="K10" s="19"/>
      <c r="L10" s="18"/>
    </row>
    <row r="11" spans="2:12">
      <c r="B11" s="20">
        <v>1997</v>
      </c>
      <c r="C11" s="30">
        <v>172947.25</v>
      </c>
      <c r="D11" s="2"/>
      <c r="E11" s="2"/>
      <c r="F11" s="2"/>
      <c r="G11" s="2"/>
      <c r="K11" s="19"/>
      <c r="L11" s="18"/>
    </row>
    <row r="12" spans="2:12">
      <c r="B12" s="20">
        <v>1998</v>
      </c>
      <c r="C12" s="30">
        <v>180175.75</v>
      </c>
      <c r="D12" s="2"/>
      <c r="E12" s="2"/>
      <c r="F12" s="2"/>
      <c r="G12" s="2"/>
      <c r="K12" s="19"/>
      <c r="L12" s="18"/>
    </row>
    <row r="13" spans="2:12">
      <c r="B13" s="20">
        <v>1999</v>
      </c>
      <c r="C13" s="30">
        <v>215006.25</v>
      </c>
      <c r="D13" s="2"/>
      <c r="E13" s="2"/>
      <c r="F13" s="2"/>
      <c r="G13" s="2"/>
      <c r="K13" s="19"/>
      <c r="L13" s="18"/>
    </row>
    <row r="14" spans="2:12">
      <c r="B14" s="20">
        <v>2000</v>
      </c>
      <c r="C14" s="30">
        <v>248504.25</v>
      </c>
      <c r="D14" s="2"/>
      <c r="E14" s="2"/>
      <c r="F14" s="2"/>
      <c r="G14" s="2"/>
      <c r="K14" s="19"/>
      <c r="L14" s="18"/>
    </row>
    <row r="15" spans="2:12">
      <c r="B15" s="20">
        <v>2001</v>
      </c>
      <c r="C15" s="30">
        <v>283050.375</v>
      </c>
      <c r="D15" s="2"/>
      <c r="E15" s="2"/>
      <c r="F15" s="2"/>
      <c r="G15" s="2"/>
      <c r="K15" s="19"/>
      <c r="L15" s="18"/>
    </row>
    <row r="16" spans="2:12">
      <c r="B16" s="20">
        <v>2002</v>
      </c>
      <c r="C16" s="30">
        <v>297904.375</v>
      </c>
      <c r="D16" s="2"/>
      <c r="E16" s="2"/>
      <c r="F16" s="2"/>
      <c r="G16" s="2"/>
      <c r="K16" s="19"/>
      <c r="L16" s="18"/>
    </row>
    <row r="17" spans="2:27">
      <c r="B17" s="20">
        <v>2003</v>
      </c>
      <c r="C17" s="30">
        <v>319434.5</v>
      </c>
      <c r="D17" s="2"/>
      <c r="E17" s="2"/>
      <c r="F17" s="2"/>
      <c r="G17" s="2"/>
      <c r="K17" s="19"/>
      <c r="L17" s="18"/>
    </row>
    <row r="18" spans="2:27">
      <c r="B18" s="20">
        <v>2004</v>
      </c>
      <c r="C18" s="30">
        <v>310826.125</v>
      </c>
      <c r="D18" s="2"/>
      <c r="E18" s="2"/>
      <c r="F18" s="2"/>
      <c r="G18" s="2"/>
      <c r="K18" s="19"/>
      <c r="L18" s="18"/>
    </row>
    <row r="19" spans="2:27">
      <c r="B19" s="20">
        <v>2005</v>
      </c>
      <c r="C19" s="30">
        <v>329081.875</v>
      </c>
      <c r="D19" s="2"/>
      <c r="E19" s="2"/>
      <c r="F19" s="2"/>
      <c r="G19" s="2"/>
      <c r="K19" s="19"/>
      <c r="L19" s="18"/>
    </row>
    <row r="20" spans="2:27">
      <c r="B20" s="20">
        <v>2006</v>
      </c>
      <c r="C20" s="30">
        <v>358318</v>
      </c>
      <c r="D20" s="2"/>
      <c r="E20" s="2"/>
      <c r="F20" s="2"/>
      <c r="G20" s="2"/>
      <c r="K20" s="19"/>
      <c r="L20" s="18"/>
    </row>
    <row r="21" spans="2:27">
      <c r="B21" s="20">
        <v>2007</v>
      </c>
      <c r="C21" s="30">
        <v>368069.5</v>
      </c>
      <c r="D21" s="2"/>
      <c r="E21" s="2"/>
      <c r="F21" s="2"/>
      <c r="G21" s="2"/>
      <c r="K21" s="19"/>
      <c r="L21" s="18"/>
    </row>
    <row r="22" spans="2:27">
      <c r="B22" s="20">
        <v>2008</v>
      </c>
      <c r="C22" s="30">
        <v>394355.625</v>
      </c>
      <c r="D22" s="2"/>
      <c r="E22" s="2"/>
      <c r="F22" s="2"/>
      <c r="G22" s="2"/>
      <c r="K22" s="19"/>
      <c r="L22" s="18"/>
    </row>
    <row r="23" spans="2:27">
      <c r="B23" s="20">
        <v>2009</v>
      </c>
      <c r="C23" s="30">
        <v>405000</v>
      </c>
      <c r="D23" s="2"/>
      <c r="E23" s="2"/>
      <c r="F23" s="2"/>
      <c r="G23" s="2"/>
      <c r="K23" s="19"/>
      <c r="L23" s="18"/>
    </row>
    <row r="24" spans="2:27">
      <c r="D24" s="2"/>
      <c r="E24" s="2"/>
      <c r="F24" s="2"/>
      <c r="G24" s="2"/>
    </row>
    <row r="25" spans="2:27">
      <c r="D25" s="2"/>
      <c r="E25" s="2"/>
      <c r="F25" s="2"/>
      <c r="G25" s="2"/>
    </row>
    <row r="26" spans="2:27">
      <c r="D26" s="2"/>
      <c r="E26" s="2"/>
      <c r="F26" s="2"/>
      <c r="G26" s="2"/>
    </row>
    <row r="27" spans="2:27">
      <c r="D27" s="2"/>
      <c r="E27" s="2"/>
      <c r="F27" s="2"/>
      <c r="G27" s="2"/>
      <c r="J27" t="s">
        <v>66</v>
      </c>
      <c r="K27" s="19" t="s">
        <v>12</v>
      </c>
      <c r="L27" s="18">
        <v>39585</v>
      </c>
      <c r="M27" t="s">
        <v>13</v>
      </c>
      <c r="N27">
        <v>17335</v>
      </c>
      <c r="O27" t="s">
        <v>14</v>
      </c>
      <c r="P27" t="s">
        <v>55</v>
      </c>
      <c r="S27" t="s">
        <v>66</v>
      </c>
      <c r="T27" t="s">
        <v>12</v>
      </c>
      <c r="U27">
        <v>79201</v>
      </c>
      <c r="V27" t="s">
        <v>14</v>
      </c>
      <c r="W27">
        <f>EXP(0.0854)</f>
        <v>1.0891526406340575</v>
      </c>
      <c r="X27" t="s">
        <v>31</v>
      </c>
      <c r="Y27" t="s">
        <v>55</v>
      </c>
    </row>
    <row r="28" spans="2:27">
      <c r="D28" s="2"/>
      <c r="E28" s="2"/>
      <c r="F28" s="2"/>
      <c r="G28" s="2"/>
      <c r="K28" s="19"/>
      <c r="L28" s="18"/>
    </row>
    <row r="29" spans="2:27">
      <c r="D29" s="2"/>
      <c r="E29" s="2"/>
      <c r="F29" s="2"/>
      <c r="G29" s="2"/>
      <c r="I29" t="s">
        <v>5</v>
      </c>
      <c r="J29" t="s">
        <v>54</v>
      </c>
      <c r="K29" s="19"/>
      <c r="L29" s="18"/>
      <c r="S29" t="s">
        <v>5</v>
      </c>
      <c r="T29" t="s">
        <v>53</v>
      </c>
    </row>
    <row r="30" spans="2:27">
      <c r="I30" t="s">
        <v>4</v>
      </c>
      <c r="J30" t="s">
        <v>52</v>
      </c>
      <c r="K30" s="19"/>
      <c r="L30" s="18"/>
      <c r="S30" t="s">
        <v>4</v>
      </c>
      <c r="T30" t="s">
        <v>51</v>
      </c>
    </row>
    <row r="31" spans="2:27">
      <c r="K31" s="19"/>
      <c r="L31" s="18"/>
    </row>
    <row r="32" spans="2:27" ht="29">
      <c r="B32" t="s">
        <v>55</v>
      </c>
      <c r="C32" s="22" t="s">
        <v>56</v>
      </c>
      <c r="D32" s="23" t="s">
        <v>92</v>
      </c>
      <c r="E32" s="23" t="s">
        <v>93</v>
      </c>
      <c r="F32" s="23" t="s">
        <v>91</v>
      </c>
      <c r="G32" s="23" t="s">
        <v>94</v>
      </c>
      <c r="I32" t="s">
        <v>86</v>
      </c>
      <c r="J32" t="s">
        <v>87</v>
      </c>
      <c r="S32" t="s">
        <v>86</v>
      </c>
      <c r="T32" t="s">
        <v>88</v>
      </c>
      <c r="AA32" s="31"/>
    </row>
    <row r="33" spans="2:27" ht="14.5" customHeight="1">
      <c r="B33">
        <v>1</v>
      </c>
      <c r="C33" s="21">
        <v>64116.25</v>
      </c>
      <c r="D33" s="2">
        <f>$L$27+$N$27*B33</f>
        <v>56920</v>
      </c>
      <c r="E33" s="2">
        <f>$U$27*$W$27^B33</f>
        <v>86261.97829085798</v>
      </c>
      <c r="F33" s="32">
        <f>(C33-D33)^2</f>
        <v>51786014.0625</v>
      </c>
      <c r="G33" s="3">
        <f>(C33-E33)^2</f>
        <v>490433281.53250754</v>
      </c>
      <c r="AA33" s="31"/>
    </row>
    <row r="34" spans="2:27">
      <c r="B34">
        <v>2</v>
      </c>
      <c r="C34" s="21">
        <v>72366.25</v>
      </c>
      <c r="D34" s="2">
        <f>$L$27+$N$27*B34</f>
        <v>74255</v>
      </c>
      <c r="E34" s="2">
        <f t="shared" ref="E34:E58" si="0">$U$27*$W$27^B34</f>
        <v>93952.461441805717</v>
      </c>
      <c r="F34" s="32">
        <f t="shared" ref="F34:F53" si="1">(C34-D34)^2</f>
        <v>3567376.5625</v>
      </c>
      <c r="G34" s="3">
        <f t="shared" ref="G34:G53" si="2">(C34-E34)^2</f>
        <v>465964524.41034406</v>
      </c>
      <c r="I34" s="2" t="s">
        <v>6</v>
      </c>
      <c r="J34" t="s">
        <v>50</v>
      </c>
      <c r="AA34" s="31"/>
    </row>
    <row r="35" spans="2:27">
      <c r="B35">
        <v>3</v>
      </c>
      <c r="C35" s="21">
        <v>111398.5</v>
      </c>
      <c r="D35" s="2">
        <f>$L$27+$N$27*B35</f>
        <v>91590</v>
      </c>
      <c r="E35" s="2">
        <f t="shared" si="0"/>
        <v>102328.57147341216</v>
      </c>
      <c r="F35" s="32">
        <f t="shared" si="1"/>
        <v>392376672.25</v>
      </c>
      <c r="G35" s="3">
        <f t="shared" si="2"/>
        <v>82263603.477411911</v>
      </c>
    </row>
    <row r="36" spans="2:27">
      <c r="B36">
        <v>4</v>
      </c>
      <c r="C36" s="21">
        <v>135551</v>
      </c>
      <c r="D36" s="2">
        <f>$L$27+$N$27*B36</f>
        <v>108925</v>
      </c>
      <c r="E36" s="2">
        <f t="shared" si="0"/>
        <v>111451.43383257774</v>
      </c>
      <c r="F36" s="32">
        <f t="shared" si="1"/>
        <v>708943876</v>
      </c>
      <c r="G36" s="3">
        <f t="shared" si="2"/>
        <v>580789089.45796382</v>
      </c>
    </row>
    <row r="37" spans="2:27">
      <c r="B37">
        <v>5</v>
      </c>
      <c r="C37" s="21">
        <v>140031.75</v>
      </c>
      <c r="D37" s="2">
        <f>$L$27+$N$27*B37</f>
        <v>126260</v>
      </c>
      <c r="E37" s="2">
        <f t="shared" si="0"/>
        <v>121387.62346120398</v>
      </c>
      <c r="F37" s="32">
        <f t="shared" si="1"/>
        <v>189661098.0625</v>
      </c>
      <c r="G37" s="3">
        <f t="shared" si="2"/>
        <v>347603454.39463788</v>
      </c>
    </row>
    <row r="38" spans="2:27">
      <c r="B38">
        <v>6</v>
      </c>
      <c r="C38" s="21">
        <v>148584.875</v>
      </c>
      <c r="D38" s="2">
        <f>$L$27+$N$27*B38</f>
        <v>143595</v>
      </c>
      <c r="E38" s="2">
        <f t="shared" si="0"/>
        <v>132209.65063306296</v>
      </c>
      <c r="F38" s="32">
        <f t="shared" si="1"/>
        <v>24898852.515625</v>
      </c>
      <c r="G38" s="3">
        <f t="shared" si="2"/>
        <v>268147973.06752846</v>
      </c>
    </row>
    <row r="39" spans="2:27">
      <c r="B39">
        <v>7</v>
      </c>
      <c r="C39" s="21">
        <v>133878.625</v>
      </c>
      <c r="D39" s="2">
        <f>$L$27+$N$27*B39</f>
        <v>160930</v>
      </c>
      <c r="E39" s="2">
        <f t="shared" si="0"/>
        <v>143996.49010430672</v>
      </c>
      <c r="F39" s="32">
        <f t="shared" si="1"/>
        <v>731776889.390625</v>
      </c>
      <c r="G39" s="3">
        <f t="shared" si="2"/>
        <v>102371194.26894768</v>
      </c>
    </row>
    <row r="40" spans="2:27">
      <c r="B40">
        <v>8</v>
      </c>
      <c r="C40" s="21">
        <v>147120.875</v>
      </c>
      <c r="D40" s="2">
        <f>$L$27+$N$27*B40</f>
        <v>178265</v>
      </c>
      <c r="E40" s="2">
        <f t="shared" si="0"/>
        <v>156834.15743914159</v>
      </c>
      <c r="F40" s="32">
        <f t="shared" si="1"/>
        <v>969956522.015625</v>
      </c>
      <c r="G40" s="3">
        <f t="shared" si="2"/>
        <v>94347855.74253644</v>
      </c>
    </row>
    <row r="41" spans="2:27">
      <c r="B41">
        <v>9</v>
      </c>
      <c r="C41" s="21">
        <v>172947.25</v>
      </c>
      <c r="D41" s="2">
        <f>$L$27+$N$27*B41</f>
        <v>195600</v>
      </c>
      <c r="E41" s="2">
        <f t="shared" si="0"/>
        <v>170816.33671645855</v>
      </c>
      <c r="F41" s="32">
        <f t="shared" si="1"/>
        <v>513147082.5625</v>
      </c>
      <c r="G41" s="3">
        <f t="shared" si="2"/>
        <v>4540791.4219734017</v>
      </c>
    </row>
    <row r="42" spans="2:27">
      <c r="B42">
        <v>10</v>
      </c>
      <c r="C42" s="21">
        <v>180175.75</v>
      </c>
      <c r="D42" s="2">
        <f>$L$27+$N$27*B42</f>
        <v>212935</v>
      </c>
      <c r="E42" s="2">
        <f t="shared" si="0"/>
        <v>186045.06419816715</v>
      </c>
      <c r="F42" s="32">
        <f t="shared" si="1"/>
        <v>1073168460.5625</v>
      </c>
      <c r="G42" s="3">
        <f t="shared" si="2"/>
        <v>34448849.156806499</v>
      </c>
    </row>
    <row r="43" spans="2:27">
      <c r="B43">
        <v>11</v>
      </c>
      <c r="C43" s="21">
        <v>215006.25</v>
      </c>
      <c r="D43" s="2">
        <f>$L$27+$N$27*B43</f>
        <v>230270</v>
      </c>
      <c r="E43" s="2">
        <f t="shared" si="0"/>
        <v>202631.47294836649</v>
      </c>
      <c r="F43" s="32">
        <f t="shared" si="1"/>
        <v>232982064.0625</v>
      </c>
      <c r="G43" s="3">
        <f t="shared" si="2"/>
        <v>153135107.07763547</v>
      </c>
    </row>
    <row r="44" spans="2:27">
      <c r="B44">
        <v>12</v>
      </c>
      <c r="C44" s="21">
        <v>248504.25</v>
      </c>
      <c r="D44" s="2">
        <f>$L$27+$N$27*B44</f>
        <v>247605</v>
      </c>
      <c r="E44" s="2">
        <f t="shared" si="0"/>
        <v>220696.60383728196</v>
      </c>
      <c r="F44" s="32">
        <f t="shared" si="1"/>
        <v>808650.5625</v>
      </c>
      <c r="G44" s="3">
        <f t="shared" si="2"/>
        <v>773265185.11092734</v>
      </c>
    </row>
    <row r="45" spans="2:27">
      <c r="B45">
        <v>13</v>
      </c>
      <c r="C45" s="21">
        <v>283050.375</v>
      </c>
      <c r="D45" s="2">
        <f>$L$27+$N$27*B45</f>
        <v>264940</v>
      </c>
      <c r="E45" s="2">
        <f t="shared" si="0"/>
        <v>240372.28884834412</v>
      </c>
      <c r="F45" s="32">
        <f t="shared" si="1"/>
        <v>327985682.640625</v>
      </c>
      <c r="G45" s="3">
        <f t="shared" si="2"/>
        <v>1821419037.5681615</v>
      </c>
    </row>
    <row r="46" spans="2:27">
      <c r="B46">
        <v>14</v>
      </c>
      <c r="C46" s="21">
        <v>297904.375</v>
      </c>
      <c r="D46" s="2">
        <f>$L$27+$N$27*B46</f>
        <v>282275</v>
      </c>
      <c r="E46" s="2">
        <f t="shared" si="0"/>
        <v>261802.11313442638</v>
      </c>
      <c r="F46" s="32">
        <f t="shared" si="1"/>
        <v>244277362.890625</v>
      </c>
      <c r="G46" s="3">
        <f t="shared" si="2"/>
        <v>1303373311.8104508</v>
      </c>
    </row>
    <row r="47" spans="2:27">
      <c r="B47">
        <v>15</v>
      </c>
      <c r="C47" s="21">
        <v>319434.5</v>
      </c>
      <c r="D47" s="2">
        <f>$L$27+$N$27*B47</f>
        <v>299610</v>
      </c>
      <c r="E47" s="2">
        <f t="shared" si="0"/>
        <v>285142.46284393675</v>
      </c>
      <c r="F47" s="32">
        <f t="shared" si="1"/>
        <v>393010800.25</v>
      </c>
      <c r="G47" s="3">
        <f t="shared" si="2"/>
        <v>1175943812.3128223</v>
      </c>
    </row>
    <row r="48" spans="2:27">
      <c r="B48">
        <v>16</v>
      </c>
      <c r="C48" s="21">
        <v>310826.125</v>
      </c>
      <c r="D48" s="2">
        <f>$L$27+$N$27*B48</f>
        <v>316945</v>
      </c>
      <c r="E48" s="2">
        <f t="shared" si="0"/>
        <v>310563.66636337229</v>
      </c>
      <c r="F48" s="32">
        <f t="shared" si="1"/>
        <v>37440631.265625</v>
      </c>
      <c r="G48" s="3">
        <f t="shared" si="2"/>
        <v>68884.535940474831</v>
      </c>
    </row>
    <row r="49" spans="2:7">
      <c r="B49">
        <v>17</v>
      </c>
      <c r="C49" s="21">
        <v>329081.875</v>
      </c>
      <c r="D49" s="2">
        <f>$L$27+$N$27*B49</f>
        <v>334280</v>
      </c>
      <c r="E49" s="2">
        <f t="shared" si="0"/>
        <v>338251.23730466136</v>
      </c>
      <c r="F49" s="32">
        <f t="shared" si="1"/>
        <v>27020503.515625</v>
      </c>
      <c r="G49" s="3">
        <f t="shared" si="2"/>
        <v>84077205.074144781</v>
      </c>
    </row>
    <row r="50" spans="2:7">
      <c r="B50">
        <v>18</v>
      </c>
      <c r="C50" s="21">
        <v>358318</v>
      </c>
      <c r="D50" s="2">
        <f>$L$27+$N$27*B50</f>
        <v>351615</v>
      </c>
      <c r="E50" s="2">
        <f t="shared" si="0"/>
        <v>368407.2283081091</v>
      </c>
      <c r="F50" s="32">
        <f t="shared" si="1"/>
        <v>44930209</v>
      </c>
      <c r="G50" s="3">
        <f t="shared" si="2"/>
        <v>101792527.85315003</v>
      </c>
    </row>
    <row r="51" spans="2:7">
      <c r="B51">
        <v>19</v>
      </c>
      <c r="C51" s="21">
        <v>368069.5</v>
      </c>
      <c r="D51" s="2">
        <f>$L$27+$N$27*B51</f>
        <v>368950</v>
      </c>
      <c r="E51" s="2">
        <f t="shared" si="0"/>
        <v>401251.7055404511</v>
      </c>
      <c r="F51" s="32">
        <f t="shared" si="1"/>
        <v>775280.25</v>
      </c>
      <c r="G51" s="3">
        <f t="shared" si="2"/>
        <v>1101058764.528744</v>
      </c>
    </row>
    <row r="52" spans="2:7">
      <c r="B52">
        <v>20</v>
      </c>
      <c r="C52" s="21">
        <v>394355.625</v>
      </c>
      <c r="D52" s="2">
        <f>$L$27+$N$27*B52</f>
        <v>386285</v>
      </c>
      <c r="E52" s="2">
        <f t="shared" si="0"/>
        <v>437024.35464830161</v>
      </c>
      <c r="F52" s="32">
        <f t="shared" si="1"/>
        <v>65134987.890625</v>
      </c>
      <c r="G52" s="3">
        <f t="shared" si="2"/>
        <v>1820620489.7998528</v>
      </c>
    </row>
    <row r="53" spans="2:7">
      <c r="B53">
        <v>21</v>
      </c>
      <c r="C53" s="21">
        <v>405000</v>
      </c>
      <c r="D53" s="2">
        <f>$L$27+$N$27*B53</f>
        <v>403620</v>
      </c>
      <c r="E53" s="2">
        <f t="shared" si="0"/>
        <v>475986.22988659254</v>
      </c>
      <c r="F53" s="32">
        <f t="shared" si="1"/>
        <v>1904400</v>
      </c>
      <c r="G53" s="3">
        <f t="shared" si="2"/>
        <v>5039044833.5121641</v>
      </c>
    </row>
    <row r="54" spans="2:7">
      <c r="B54">
        <v>22</v>
      </c>
      <c r="C54" s="6"/>
      <c r="D54" s="2">
        <f>$L$27+$N$27*B54</f>
        <v>420955</v>
      </c>
      <c r="E54" s="2">
        <f t="shared" si="0"/>
        <v>518421.65918643179</v>
      </c>
      <c r="F54" s="2"/>
      <c r="G54" s="2"/>
    </row>
    <row r="55" spans="2:7">
      <c r="B55">
        <v>23</v>
      </c>
      <c r="C55" s="6"/>
      <c r="D55" s="2">
        <f>$L$27+$N$27*B55</f>
        <v>438290</v>
      </c>
      <c r="E55" s="2">
        <f t="shared" si="0"/>
        <v>564640.31906479155</v>
      </c>
      <c r="F55" s="2"/>
      <c r="G55" s="2"/>
    </row>
    <row r="56" spans="2:7">
      <c r="B56">
        <v>24</v>
      </c>
      <c r="C56" s="6"/>
      <c r="D56" s="2">
        <f>$L$27+$N$27*B56</f>
        <v>455625</v>
      </c>
      <c r="E56" s="2">
        <f t="shared" si="0"/>
        <v>614979.49451787444</v>
      </c>
      <c r="F56" s="2"/>
      <c r="G56" s="2"/>
    </row>
    <row r="57" spans="2:7">
      <c r="B57">
        <v>25</v>
      </c>
      <c r="C57" s="6"/>
      <c r="D57" s="2">
        <f>$L$27+$N$27*B57</f>
        <v>472960</v>
      </c>
      <c r="E57" s="2">
        <f t="shared" si="0"/>
        <v>669806.54038994084</v>
      </c>
      <c r="F57" s="2"/>
      <c r="G57" s="2"/>
    </row>
    <row r="58" spans="2:7">
      <c r="B58">
        <v>26</v>
      </c>
      <c r="C58" s="6"/>
      <c r="D58" s="2">
        <f>$L$27+$N$27*B58</f>
        <v>490295</v>
      </c>
      <c r="E58" s="2">
        <f t="shared" si="0"/>
        <v>729521.56217966648</v>
      </c>
      <c r="F58" s="2"/>
      <c r="G58" s="2"/>
    </row>
    <row r="59" spans="2:7">
      <c r="B59">
        <v>27</v>
      </c>
      <c r="C59" s="6"/>
      <c r="D59" s="2">
        <f>$L$27+$N$27*B59</f>
        <v>507630</v>
      </c>
      <c r="E59" s="2">
        <f>$U$27*$W$27^B59</f>
        <v>794560.33584746637</v>
      </c>
      <c r="F59" s="2"/>
      <c r="G59" s="2"/>
    </row>
    <row r="67" spans="7:16">
      <c r="I67" t="s">
        <v>0</v>
      </c>
    </row>
    <row r="68" spans="7:16">
      <c r="J68" t="s">
        <v>89</v>
      </c>
      <c r="O68" t="s">
        <v>90</v>
      </c>
    </row>
    <row r="70" spans="7:16">
      <c r="I70" t="s">
        <v>69</v>
      </c>
      <c r="J70" s="9">
        <f>SQRT(SUM(F33:F53)/(21-2))</f>
        <v>17823.038633232845</v>
      </c>
      <c r="K70" s="9"/>
      <c r="L70" s="9"/>
      <c r="M70" s="9"/>
      <c r="N70" s="9"/>
      <c r="O70" s="9" t="s">
        <v>69</v>
      </c>
      <c r="P70" s="9">
        <f>SQRT(SUM(G33:G53)/(21-2))</f>
        <v>28877.88242720921</v>
      </c>
    </row>
    <row r="71" spans="7:16">
      <c r="J71" s="9"/>
      <c r="K71" s="9"/>
      <c r="L71" s="9"/>
      <c r="M71" s="9"/>
      <c r="N71" s="9"/>
      <c r="O71" s="9"/>
      <c r="P71" s="9"/>
    </row>
    <row r="72" spans="7:16">
      <c r="I72" t="s">
        <v>74</v>
      </c>
      <c r="J72" s="9">
        <f>AVERAGE(C33:C53)</f>
        <v>230272.47619047618</v>
      </c>
      <c r="K72" s="9"/>
      <c r="L72" s="9"/>
      <c r="M72" s="9"/>
      <c r="N72" s="9"/>
      <c r="O72" s="9"/>
      <c r="P72" s="9"/>
    </row>
    <row r="73" spans="7:16">
      <c r="J73" s="9"/>
      <c r="K73" s="9"/>
      <c r="L73" s="9"/>
      <c r="M73" s="9"/>
      <c r="N73" s="9"/>
      <c r="O73" s="9"/>
      <c r="P73" s="9"/>
    </row>
    <row r="74" spans="7:16">
      <c r="I74" t="s">
        <v>71</v>
      </c>
      <c r="J74" s="8">
        <f>J70/J72</f>
        <v>7.739977841941488E-2</v>
      </c>
      <c r="K74" s="9"/>
      <c r="L74" s="9"/>
      <c r="M74" s="9"/>
      <c r="N74" s="9"/>
      <c r="O74" s="9" t="s">
        <v>71</v>
      </c>
      <c r="P74" s="8">
        <f>P70/J72</f>
        <v>0.12540744297777942</v>
      </c>
    </row>
    <row r="76" spans="7:16" ht="15.5" customHeight="1">
      <c r="G76" t="s">
        <v>96</v>
      </c>
      <c r="O76" t="s">
        <v>97</v>
      </c>
    </row>
    <row r="78" spans="7:16">
      <c r="G78" t="s">
        <v>98</v>
      </c>
      <c r="O78" t="s">
        <v>99</v>
      </c>
    </row>
    <row r="79" spans="7:16">
      <c r="G79" t="s">
        <v>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Kujbus Tibor (MOL Nyrt.)</dc:creator>
  <cp:lastModifiedBy>Tibor Kujbus</cp:lastModifiedBy>
  <dcterms:created xsi:type="dcterms:W3CDTF">2024-11-20T22:39:21Z</dcterms:created>
  <dcterms:modified xsi:type="dcterms:W3CDTF">2024-11-27T22:24:37Z</dcterms:modified>
</cp:coreProperties>
</file>