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46517e5cba5a2f2/Asztali gép/KJE/06_Vállalati pénzügy/Kodolányi vállalati pénzügy felkészítő_2025/Feladatok/"/>
    </mc:Choice>
  </mc:AlternateContent>
  <xr:revisionPtr revIDLastSave="1" documentId="13_ncr:1_{FC8135FB-9CC7-45F1-AC55-94A655CDFD8A}" xr6:coauthVersionLast="47" xr6:coauthVersionMax="47" xr10:uidLastSave="{4CB4F0C1-D588-40A8-92F3-843DC5DD8E26}"/>
  <bookViews>
    <workbookView xWindow="-108" yWindow="-108" windowWidth="23256" windowHeight="12456" activeTab="4" xr2:uid="{037B14AC-FA18-4E1E-8F93-88875FB932FB}"/>
  </bookViews>
  <sheets>
    <sheet name="KÖTVÉNY1" sheetId="9" r:id="rId1"/>
    <sheet name="részvény" sheetId="2" r:id="rId2"/>
    <sheet name="beruházás" sheetId="3" r:id="rId3"/>
    <sheet name="kockázat, CAPM" sheetId="4" r:id="rId4"/>
    <sheet name="mutatók" sheetId="5" r:id="rId5"/>
    <sheet name="adópajzs" sheetId="8" r:id="rId6"/>
    <sheet name="tőkeáttétel" sheetId="7" r:id="rId7"/>
  </sheets>
  <definedNames>
    <definedName name="_Hlk118880513" localSheetId="1">részvény!$B$48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5" l="1"/>
  <c r="O33" i="5"/>
  <c r="N28" i="5"/>
  <c r="M82" i="7"/>
  <c r="P52" i="7"/>
  <c r="O50" i="7"/>
  <c r="O46" i="7"/>
  <c r="Q113" i="4"/>
  <c r="S94" i="4"/>
  <c r="P89" i="4"/>
  <c r="O75" i="4"/>
  <c r="Q58" i="3"/>
  <c r="Q57" i="3"/>
  <c r="Q56" i="3"/>
  <c r="P29" i="3"/>
  <c r="S28" i="3"/>
  <c r="P216" i="2"/>
  <c r="Q214" i="2"/>
  <c r="P179" i="2"/>
  <c r="P161" i="2"/>
  <c r="P160" i="2"/>
  <c r="U159" i="2"/>
  <c r="N150" i="2"/>
  <c r="N142" i="2"/>
  <c r="U140" i="2"/>
  <c r="R139" i="2"/>
  <c r="F81" i="2"/>
  <c r="N61" i="2"/>
  <c r="P39" i="8"/>
  <c r="O38" i="8"/>
  <c r="Q25" i="8"/>
  <c r="P24" i="8"/>
  <c r="I162" i="9"/>
  <c r="F161" i="9"/>
  <c r="F160" i="9"/>
  <c r="M159" i="9"/>
  <c r="Q145" i="9"/>
  <c r="I145" i="9"/>
  <c r="J145" i="9"/>
  <c r="K145" i="9"/>
  <c r="L145" i="9"/>
  <c r="M145" i="9"/>
  <c r="N145" i="9"/>
  <c r="O145" i="9"/>
  <c r="P145" i="9"/>
  <c r="H145" i="9"/>
  <c r="G145" i="9"/>
  <c r="F145" i="9"/>
  <c r="E145" i="9"/>
  <c r="D145" i="9"/>
  <c r="C145" i="9"/>
  <c r="M119" i="9"/>
  <c r="K119" i="9"/>
  <c r="I119" i="9"/>
  <c r="G119" i="9"/>
  <c r="E119" i="9"/>
  <c r="O118" i="9" s="1"/>
  <c r="O100" i="9"/>
  <c r="H108" i="9"/>
  <c r="G108" i="9"/>
  <c r="F108" i="9"/>
  <c r="E108" i="9"/>
  <c r="D108" i="9"/>
  <c r="C108" i="9"/>
  <c r="K79" i="9"/>
  <c r="I80" i="9"/>
  <c r="G80" i="9"/>
  <c r="E80" i="9"/>
  <c r="G68" i="9"/>
  <c r="I72" i="9" s="1"/>
  <c r="I76" i="9" s="1"/>
  <c r="I79" i="9" s="1"/>
  <c r="F68" i="9"/>
  <c r="G72" i="9" s="1"/>
  <c r="G76" i="9" s="1"/>
  <c r="G79" i="9" s="1"/>
  <c r="E68" i="9"/>
  <c r="E72" i="9" s="1"/>
  <c r="E76" i="9" s="1"/>
  <c r="E79" i="9" s="1"/>
  <c r="D68" i="9"/>
  <c r="C68" i="9"/>
  <c r="M52" i="9"/>
  <c r="K52" i="9"/>
  <c r="I52" i="9"/>
  <c r="G52" i="9"/>
  <c r="E52" i="9"/>
  <c r="G25" i="9"/>
  <c r="F25" i="9"/>
  <c r="E25" i="9"/>
  <c r="D25" i="9"/>
  <c r="C25" i="9"/>
  <c r="O51" i="9" l="1"/>
</calcChain>
</file>

<file path=xl/sharedStrings.xml><?xml version="1.0" encoding="utf-8"?>
<sst xmlns="http://schemas.openxmlformats.org/spreadsheetml/2006/main" count="594" uniqueCount="476">
  <si>
    <t>Egy részvénytársaság adózott eredménye (nyeresége) jelenleg 200.000.000 Ft. Az Rt-nek 1.000.000 db részvénye van, a saját tőkéje 1.000.000.000 Ft. A nyereség 60%-át fizetik ki osztalékként.</t>
  </si>
  <si>
    <t xml:space="preserve">FONTOS GYAKORLÓ PÉLDA: részvények ALAPADATAI-nak meghatározása (kell az árfolyamhoz) </t>
  </si>
  <si>
    <t>A részvényeknek NINCS OLYAN előre pontosan, tervezhető, fix cashflow-juk mint a kötvényeknek</t>
  </si>
  <si>
    <t>Részvénynek is van névértéke, de azt NEM TÖRLESZTI VISSZA SOHA</t>
  </si>
  <si>
    <r>
      <t xml:space="preserve">Részvénynek SOHA NINCSEN KAMATA   </t>
    </r>
    <r>
      <rPr>
        <i/>
        <sz val="12"/>
        <color theme="1"/>
        <rFont val="Times New Roman"/>
        <family val="1"/>
        <charset val="238"/>
      </rPr>
      <t xml:space="preserve"> ( a vizsgán legalábbis, mert létezik kamatozó részvény, de nagyon ritka, nem tanuljátok… )</t>
    </r>
  </si>
  <si>
    <t>A részvény OSZTALÉKOT fizet, ez az elsődleges eleme a cashflow-nak.</t>
  </si>
  <si>
    <t xml:space="preserve">Osztalék: a nyereség része.    </t>
  </si>
  <si>
    <t xml:space="preserve">(számviteli értelemben másként számolunk osztalékot, de az itt nem fontos…. ) </t>
  </si>
  <si>
    <t>a feladatokban szinte mindig 1 DB RÉSZVÉNYRE VONATKOZÓAN KELL SZÁMOLNI</t>
  </si>
  <si>
    <t>1 db részvény osztaléka =  1 db részvény nyeresége  * d</t>
  </si>
  <si>
    <t>jelölésekkel</t>
  </si>
  <si>
    <t>DIV = EPS * d</t>
  </si>
  <si>
    <t xml:space="preserve"> ahol DIV az osztalék, EPS a nyereség, d az osztalékfizetési hányad</t>
  </si>
  <si>
    <t>ha a d 0% : a cég nem fizet osztalékot, a teljes nyereséget visszaforgatja    (ilyenkor EPS &gt; DIV )</t>
  </si>
  <si>
    <t>ha a d 100%: a cég a teljes nyereséget kifizeti osztaléknak, semmit nem forgat vissza  (ilyenkor EPS = DIV )</t>
  </si>
  <si>
    <t>ha     0 % &lt; d &lt; 100%, akkor a nyereség valamekkora részét kifizeti osztalékként, és egy másik részét visszaforgatja.  (ilyenkor EPS &gt; DIV)</t>
  </si>
  <si>
    <t>DIV = EPS * d   : ebben a képletben a RÉSZLETEK A FONTOSAK!!</t>
  </si>
  <si>
    <t>a DIV-et és az EPS-t is meg kell indexelni, hogy melyik év nyeresége és osztaléka…</t>
  </si>
  <si>
    <t>DIV0 = nulladik év osztaléka, azaz a jelenbeli, mai osztalék     DIV1: osztalék 1 év múlva,   és igy tovább DIV2, DIV 3, stb</t>
  </si>
  <si>
    <t>EPS0 = nulladik év nyeresége, azaz a jelenbeli, mai nyereség    EPS1: nyereség 1 év múlva,   és igy tovább EPS2, EPS3, stb</t>
  </si>
  <si>
    <t>!!! Az EPS és a DIV indexének egyeznie kell, azaz azonos évinek kell lennie !!!</t>
  </si>
  <si>
    <t>DIV0 = EPS 0 * d</t>
  </si>
  <si>
    <t>DIV1 = EPS 1 * d     és igy tovább…...</t>
  </si>
  <si>
    <t>Kérdések:</t>
  </si>
  <si>
    <t xml:space="preserve">a) Mekkora a visszaforgatási hányada, a ROE mutatója, és az osztalék növekedési üteme? </t>
  </si>
  <si>
    <t>b) mekkora a következő évi várható egy részvényre jutó nyeresége és osztaléka?</t>
  </si>
  <si>
    <t>Saját tőke</t>
  </si>
  <si>
    <t>Kötelezettségek (idegen források)</t>
  </si>
  <si>
    <t>Befektetett eszközök</t>
  </si>
  <si>
    <t xml:space="preserve">Forgóeszközök </t>
  </si>
  <si>
    <t>ESZKÖZÖK</t>
  </si>
  <si>
    <t>FORRÁSOK</t>
  </si>
  <si>
    <t>FORRÁSOK ÖSSZESEN = saját tőke + kötelezettségek</t>
  </si>
  <si>
    <t>ESZKÖZÖK ÖSSZESEN = befektetett eszközök + forgóeszközök</t>
  </si>
  <si>
    <t xml:space="preserve"> Kötelezettségek részei:           </t>
  </si>
  <si>
    <t>Hosszu lejáratú kötelezettségek</t>
  </si>
  <si>
    <t>Rövid lejáratú kötelezettségek</t>
  </si>
  <si>
    <t>Forgóeszközök részei:  Készletek, Követelések, Értékpapirok, Pénzeszközök</t>
  </si>
  <si>
    <t xml:space="preserve">CAPM modell lényege:  </t>
  </si>
  <si>
    <t xml:space="preserve">CAPM modell feltevései: </t>
  </si>
  <si>
    <t xml:space="preserve">CAPM modell ábra: </t>
  </si>
  <si>
    <t xml:space="preserve">Gyakorló példák. </t>
  </si>
  <si>
    <t>KODOLÁNYIS KÉPLETGYŰJTEMÉNY</t>
  </si>
  <si>
    <t>KÖTVÉNY: HITELVISZONYT MEGTESTESÍTŐ ÉRTÉKPAPIR. A BEFEKTETŐ AZÉRT VESZI MEG, HOGY KAMATOT KAPJON (amely általában magasabb a banki kamatnál).</t>
  </si>
  <si>
    <t xml:space="preserve">a kamatozó kötvény általánosságban KÉT DOLGOT FIZET:   kamatot (általában évente egyszer), és törlesztést (ezt "akármikor") </t>
  </si>
  <si>
    <t>a LEGGYAKORIBB a KLASSZIKUS kötvény: ez ÉVENTE EGYSZER, ÉV VÉGÉN FIZETI A KAMATOT, ÉS A FUTAMIDŐ VÉGÉN A TÖRLESZTÉST</t>
  </si>
  <si>
    <t>Kamatozó kötvény cash flow</t>
  </si>
  <si>
    <t>Egy kötvény esetében a következő adatok ismertek</t>
  </si>
  <si>
    <t>Névértéke = Pn = 100.000 Ft</t>
  </si>
  <si>
    <t>Futamideje = 5 év</t>
  </si>
  <si>
    <t>Éves névleges kamatláb = rn = 12%</t>
  </si>
  <si>
    <t>írja fel a kötvény cashflow-ját</t>
  </si>
  <si>
    <t>Kötvény pénzáramlásai az egyes évek VÉGÉN</t>
  </si>
  <si>
    <t>1.</t>
  </si>
  <si>
    <t>2.</t>
  </si>
  <si>
    <t>3.</t>
  </si>
  <si>
    <t>4.</t>
  </si>
  <si>
    <t>5.</t>
  </si>
  <si>
    <t>Törlesztés</t>
  </si>
  <si>
    <t>Kamat</t>
  </si>
  <si>
    <t>Cashflow</t>
  </si>
  <si>
    <t>Kamatozó kötvény elméleti árfolyam</t>
  </si>
  <si>
    <t>KÉPLET (helyett egy definició :) ) =   a kötvény JÖVŐBELI CASHFLOW-jának a JELENÉRTÉKE</t>
  </si>
  <si>
    <r>
      <t xml:space="preserve">Ha a Piaci hozam (kockázatot is tükröző, hasonló kötvényektől elvárt hozam) = </t>
    </r>
    <r>
      <rPr>
        <b/>
        <u/>
        <sz val="12"/>
        <color theme="1"/>
        <rFont val="Times New Roman"/>
        <family val="1"/>
        <charset val="238"/>
      </rPr>
      <t>r = 11%</t>
    </r>
    <r>
      <rPr>
        <sz val="12"/>
        <color theme="1"/>
        <rFont val="Times New Roman"/>
        <family val="2"/>
        <charset val="238"/>
      </rPr>
      <t>, akkor mennyi lesz a fenti kötvények elméleti árfolyama</t>
    </r>
    <r>
      <rPr>
        <b/>
        <u/>
        <sz val="12"/>
        <color theme="1"/>
        <rFont val="Times New Roman"/>
        <family val="1"/>
        <charset val="238"/>
      </rPr>
      <t xml:space="preserve"> KIBOCSÁTÁSKOR?</t>
    </r>
  </si>
  <si>
    <t>+</t>
  </si>
  <si>
    <t>=</t>
  </si>
  <si>
    <t>(1+0,11)^1</t>
  </si>
  <si>
    <t>(1+0,11)^2</t>
  </si>
  <si>
    <t>(1+0,11)^3</t>
  </si>
  <si>
    <t>(1+0,11)^4</t>
  </si>
  <si>
    <t>(1+0,11)^5</t>
  </si>
  <si>
    <t>…........</t>
  </si>
  <si>
    <t xml:space="preserve">Elméleti árfolyam  </t>
  </si>
  <si>
    <t>Elméleti árfolyam    KISZÁMOLVA</t>
  </si>
  <si>
    <t>C1</t>
  </si>
  <si>
    <t>(1+r)^1</t>
  </si>
  <si>
    <t>C2</t>
  </si>
  <si>
    <t>(1+r)^2</t>
  </si>
  <si>
    <t>C3</t>
  </si>
  <si>
    <t>(1+r)^3</t>
  </si>
  <si>
    <t>…...</t>
  </si>
  <si>
    <r>
      <t xml:space="preserve">Mennyi az elméleti árfolyama a kibocsátás után 2 évvel (vagyis a 2.év végén), az  aznapi kamatfizetés </t>
    </r>
    <r>
      <rPr>
        <b/>
        <u/>
        <sz val="12"/>
        <color theme="1"/>
        <rFont val="Times New Roman"/>
        <family val="1"/>
        <charset val="238"/>
      </rPr>
      <t>UTÁN</t>
    </r>
    <r>
      <rPr>
        <sz val="12"/>
        <color theme="1"/>
        <rFont val="Times New Roman"/>
        <family val="2"/>
        <charset val="238"/>
      </rPr>
      <t xml:space="preserve"> ??</t>
    </r>
  </si>
  <si>
    <t xml:space="preserve"> Ha  a piaci hozam = r = 11%, akkor: </t>
  </si>
  <si>
    <r>
      <t xml:space="preserve">Elméleti árf.    </t>
    </r>
    <r>
      <rPr>
        <b/>
        <sz val="14"/>
        <color theme="1"/>
        <rFont val="Times New Roman"/>
        <family val="1"/>
        <charset val="238"/>
      </rPr>
      <t xml:space="preserve">= </t>
    </r>
  </si>
  <si>
    <t>….......</t>
  </si>
  <si>
    <t>….....</t>
  </si>
  <si>
    <t>CAPM MODELL:  CAPITAL ASSETS PRICING MODELL, azaz Tőkepiaci árfolyamok (tőkepiaci árazás) modellje</t>
  </si>
  <si>
    <t>A befektetések kockázata két részre bontható:  egyedi és piaci kockázatra</t>
  </si>
  <si>
    <t>A piaci kockázat diverzifikációval csökkenthető akár nullára is.  Diverzifikáció:  a befektetésre szánt összeg megosztás: TÖBB, KÜLÖNBÖZŐ részvénybe kell fektetni (minél több, annál jobb)</t>
  </si>
  <si>
    <t xml:space="preserve">Az egyedi kockázat nem csökkenthető. </t>
  </si>
  <si>
    <t xml:space="preserve">Az elvárt hozam arányos az egyedi kockázattal:  Minél nagyobb a kockázat, annál nagyobb az elvárt hozam.   Klasszikus idézet:  " a tőkepiacon nincs ingyen ebéd" </t>
  </si>
  <si>
    <t xml:space="preserve">A CAPM azt mutatja meg, hogy a hozam és a kockázat hogyan aránylik egymáshoz. </t>
  </si>
  <si>
    <t xml:space="preserve">Mivel egyszerre, egyben fizetik a törlesztést, ezért minden évben azonos a kamat. </t>
  </si>
  <si>
    <t xml:space="preserve">A névértéket a futamidő VÉGÉN, egy összegben törleszti    (emiatt nevezzük klasszikus kötvénynek ) </t>
  </si>
  <si>
    <t xml:space="preserve">A névleges kamatláb azt a kaamtok jelüli, amenynit a kötvény kifizet. </t>
  </si>
  <si>
    <t>kamat (éves kamat)  =  névérték * névleges kamatláb = 100.000 * 12% = 12000   (MINDEN ÉVBEN UGYANENNYI )</t>
  </si>
  <si>
    <t>először a KIBOCSÁTÁSKORI árfolyamot nézzük meg.   KIBOCSÁTÁS NAPJA: első év első napja, "nulladik év". Ilyenkor a CF teljes összege jövőbeni</t>
  </si>
  <si>
    <t xml:space="preserve">r: várható (elvárt) hozam, egyben a piaci (tőkepiaci) kamat.  </t>
  </si>
  <si>
    <t xml:space="preserve">tehát a kötvényes feladatokban  2 KÜLÖNBÖZŐ KAMAT (hozam) LESZ:     </t>
  </si>
  <si>
    <t>A) NÉVLEGES KAMAT:  ez csak a kötvény CF-hoz kell</t>
  </si>
  <si>
    <t xml:space="preserve">B) Piaci kamat:  ez csak a jelenértékszámitáshoz kell. </t>
  </si>
  <si>
    <t>a gyakori tipushiba:   először összeadjátok a CF-t, tehát  12000+12000+12000+12000+112000 = …   és utána ennekj vennénk a jelenértékét. EZ TUTI NEM JÓ</t>
  </si>
  <si>
    <t xml:space="preserve">ELMÉLETI ÁRFOLYAM = 103.695,90, nevezik ugy is, hogy REÁLIS árfolyam. </t>
  </si>
  <si>
    <t xml:space="preserve">a vételár eltérhet az elméleti árfolyamtól. </t>
  </si>
  <si>
    <t xml:space="preserve">Ha a vételár nagyobb (drágább) mint az elméleti árfolyam:   akkor NEM ÉRI MEG MEGVENNI </t>
  </si>
  <si>
    <t xml:space="preserve">Ha a vételár kisebb (olcsóbb) mint az elméleti árfolyam:  akkor MEGÉRI MEGVENNI. </t>
  </si>
  <si>
    <t xml:space="preserve">Ha azonos a vételár és az elméleti árfolyam:  semleges, sem nem éri meg különösebben, sem nem nevezhető rossz befektetésnek.  Nem nyerünk, nem vesztünk semmit. </t>
  </si>
  <si>
    <t>Névérték = Pn = 10000</t>
  </si>
  <si>
    <t xml:space="preserve">futamidő = k éves :  legyen k = 6  év </t>
  </si>
  <si>
    <t>névleges kamatláb = 6%   (ez kell majd a CF hoz )</t>
  </si>
  <si>
    <t xml:space="preserve">1 év eltelt már a futamidőből:   akkor még 6 - 1 = 5 év van hára.   Az első év végén vagyunk , és a következő kamatot 1 év múlva, a második év végén fizetik ki . </t>
  </si>
  <si>
    <t>"mennyiért érdemes megvenni?? "  tehát az ELMÉLETI ÁRFOLYAM A KÉRDÉS</t>
  </si>
  <si>
    <t>piaci kamat = 8%   (ez kell majd a jelenérték számitáshoz)</t>
  </si>
  <si>
    <t>6.</t>
  </si>
  <si>
    <t xml:space="preserve">éves kamat = névérték * névleges kamatláb = 10000 * 6% = </t>
  </si>
  <si>
    <t xml:space="preserve"> (minden év végén)</t>
  </si>
  <si>
    <t xml:space="preserve">!!!!   Mivel már egy év eltelt:  az első év összege NEM SZÁMIT !!! </t>
  </si>
  <si>
    <t xml:space="preserve">Kötvény elméleti árfolyama:  </t>
  </si>
  <si>
    <t>C4</t>
  </si>
  <si>
    <t>C5</t>
  </si>
  <si>
    <t>C6</t>
  </si>
  <si>
    <t>(1+0,08)^1</t>
  </si>
  <si>
    <t>(1+0,08)^2</t>
  </si>
  <si>
    <t>(1+0,08)^3</t>
  </si>
  <si>
    <t>(1+0,08)^4</t>
  </si>
  <si>
    <t>(1+0,08)^5</t>
  </si>
  <si>
    <t xml:space="preserve">Ezt a kötvényt 9201,46 Ft-ért éri meg megvenni. </t>
  </si>
  <si>
    <t>futamidő = 15 év</t>
  </si>
  <si>
    <t>névleges kamatláb = 11%    (ez kell a CF-hoz)</t>
  </si>
  <si>
    <t>piaci kamat = 9%</t>
  </si>
  <si>
    <t xml:space="preserve">kibocsátás után k évvel.      Ha EDIT:  k = 4 </t>
  </si>
  <si>
    <t xml:space="preserve">ebben az esetben 15 év - 4év = 11 év van hátra !!!!   :( :(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</si>
  <si>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</si>
  <si>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</si>
  <si>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</si>
  <si>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</si>
  <si>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</si>
  <si>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</si>
  <si>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</si>
  <si>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</si>
  <si>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</si>
  <si>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éves kamat = 10000 * 11% = 1100</t>
  </si>
  <si>
    <t>hagyományos módszerrel számolható:  igen, de hosszu…...</t>
  </si>
  <si>
    <t xml:space="preserve">de ezért tanultuk ( előző félévben) az annuitást.  </t>
  </si>
  <si>
    <t>ANNUITÁS: minden évben, év végén ugyanakkora összeg kifizettés VÉGES ideig</t>
  </si>
  <si>
    <t>a kötvényt ketté lehet bontani</t>
  </si>
  <si>
    <t>a hátralévő 11 év:     10-szer 1100/évente   és a legutolsóban 11.100 egyszer</t>
  </si>
  <si>
    <t>tehát az első 10 év annuitás</t>
  </si>
  <si>
    <t>a legutolsó 11. év egy egyszeri összeg</t>
  </si>
  <si>
    <t>ANNUITÁS jelenértéke =   éves összeg * ANNUITÁS faktor</t>
  </si>
  <si>
    <t xml:space="preserve">Annuitásfaktor:  ( 1/r) - (1/r*(1+r)^n) </t>
  </si>
  <si>
    <t xml:space="preserve">Annuitásfaktor ebben a példában:    r = piaci kamat = 9%    n = annuitás időtartama = 10 év   (nem 11) =    (1/0,09)  - (1/0,09*1,09^10) = </t>
  </si>
  <si>
    <t xml:space="preserve">az első 10 év jelenértéke =  1100 * 6,418 = </t>
  </si>
  <si>
    <t xml:space="preserve">a 11. év jelenértéke = 11100 / (1+0,09)^11 = </t>
  </si>
  <si>
    <t xml:space="preserve">a teljes hátralévő 11 év jelenértéke (azaz a kötvény elméleti árfolyama ) = 7059,8+4301,6 = </t>
  </si>
  <si>
    <t>Adópajzs (tax shield)  :  a kamatok adómegtakaritásának az értéke.</t>
  </si>
  <si>
    <t xml:space="preserve">Ha egy vállalat hitelt vesz fel, akkor a hitel kamatot fizet, a kamat csökkenti a nyereséget  ( számvitelben a kamat ráforditás) , és ha csökken a nyereség, akkor kevesebb adót kell fizetni.  </t>
  </si>
  <si>
    <t>adómegtakaritás összege =  kamat összege * adókulcs  ( Társasági adó kell ide, soha nem áfa, vagy bármi más)</t>
  </si>
  <si>
    <t>pl ha kifizetek 100.000 Ft kamatot, akkor 100.000 ft-tal csökken a nyereségem, és 100.000 * 9% = 9.000 Ft-tal kevesebb adót kell befizetni (ahhoz képest kevesebbet, mintha nem lenne hitel, és nem lenne kamat)</t>
  </si>
  <si>
    <t xml:space="preserve">Adót évente fizetünk, a fenti 9000 Ft az egy év adómegtakaritása. </t>
  </si>
  <si>
    <t xml:space="preserve">Elméletileg sok vállalat azonos összegű hitellel finanszirozza a tevéjkenységeét hosszu éveken át, "örökké" .  A vizsgán ilyet szoktak kérdezni. </t>
  </si>
  <si>
    <t xml:space="preserve">ebben az esetben az adómegtakaritás minden évben "örökké" érvényesül. </t>
  </si>
  <si>
    <t xml:space="preserve">Az örökké tartó adómegtakaritás értéke =  a jövőbeni CF jelenértéke </t>
  </si>
  <si>
    <t>felvett hitel összege = 2 * k</t>
  </si>
  <si>
    <t>k legyen = 5</t>
  </si>
  <si>
    <t>felvett hitel 2*5millió ft = 10 mft</t>
  </si>
  <si>
    <t>éves , hosszu távu kamat = 13%</t>
  </si>
  <si>
    <t>TAO kulcs = 9%</t>
  </si>
  <si>
    <t xml:space="preserve">Éves adómegtakaritás =  éves kamat  * TAO kulcs </t>
  </si>
  <si>
    <t>éves kamat = 10 mft * 13% = 1,3 mft / év</t>
  </si>
  <si>
    <t xml:space="preserve">éves adómegtakaritás =  1,3 mft * 9% = </t>
  </si>
  <si>
    <t xml:space="preserve"> mft</t>
  </si>
  <si>
    <t xml:space="preserve">adómegtakaritás jelenértéke =  0,117 mft / 0,13 = </t>
  </si>
  <si>
    <r>
      <rPr>
        <b/>
        <sz val="12"/>
        <color theme="1"/>
        <rFont val="Times New Roman"/>
        <family val="1"/>
        <charset val="238"/>
      </rPr>
      <t>örökjáradék (mert az adómegtakaritás örökjáradék) jelenértéke = C / r</t>
    </r>
    <r>
      <rPr>
        <sz val="12"/>
        <color theme="1"/>
        <rFont val="Times New Roman"/>
        <family val="2"/>
        <charset val="238"/>
      </rPr>
      <t xml:space="preserve">  , ahol C = az éves adómegtakaritás,  r = hosszu távú éves kamat (hozam) </t>
    </r>
  </si>
  <si>
    <t>legyen  k = 10 mft</t>
  </si>
  <si>
    <t>éves kamat = 10 mft * 14% = 1,4 mft</t>
  </si>
  <si>
    <t xml:space="preserve">éves adómegtakaritás = 1,4 mft * 9% = </t>
  </si>
  <si>
    <t xml:space="preserve">adómegtakaritás jelenértéke  = 0,126 mft / 0,14 = </t>
  </si>
  <si>
    <t>r = éves hosszutávu kamat = 14%</t>
  </si>
  <si>
    <t>ha a hitel összege és a TAO azonos két külön példában, akkor a kamattól függetlenül a végeredmény azonos</t>
  </si>
  <si>
    <t xml:space="preserve">Értelmezés:  az, hogy a hitelkamat miatt minden évben hosszu távon 0,117 mft összeggel kevesebb adót kell fizetnem, hosszu távon 0,9 mft-tal növeli a vállalatom értékét. </t>
  </si>
  <si>
    <t xml:space="preserve">mindkét példában volt üzemi eredmény. Az nem fontos??? </t>
  </si>
  <si>
    <t>Fontos.   HA az üzemi eredmény összege KISEBB lenne, mint az éves kamat, akkor az éves kamatot (számviteli okokból) nem lehet teljes egészében levonni. Ilyenkor változna az adómegtakaritás értéke</t>
  </si>
  <si>
    <t xml:space="preserve">a vizsgán mindig nagyobb az üzemi eredmény mint a kamat, tehát nem számit. </t>
  </si>
  <si>
    <t>Teljes cég osztaléka  = Teljes cég nyeresége (számviteli nyelven adózott eredmény) * d (osztalékfizetési hányad)</t>
  </si>
  <si>
    <t xml:space="preserve">mekkora lehet a d (azaz az osztalékfizetési hányad) :    0% és 100% között akármennyi (0 is és 100 is) </t>
  </si>
  <si>
    <t>de semmiképpen nem jó az, hogy DIV1 = EPS0 * d, vagy DIV0 = EPS1*d, és bármi hasonló !!!!</t>
  </si>
  <si>
    <t xml:space="preserve">a részvényes példák VÉGCÉLJA: a részvényárfolyam </t>
  </si>
  <si>
    <t>adózott eredmény ( cég teljes nyeresége) = 200.000.000 Ft</t>
  </si>
  <si>
    <t xml:space="preserve">részvények száma = 1.000.000 db </t>
  </si>
  <si>
    <t>saját tőke = 1.000.000.000 Ft</t>
  </si>
  <si>
    <t xml:space="preserve">a nyereség 60%-át fizetik ki osztaléknak = osztalékfizetési ráta = d = 60%  </t>
  </si>
  <si>
    <t xml:space="preserve">a)  </t>
  </si>
  <si>
    <t xml:space="preserve">visszaforgatási hányad = ?   (újrabefektetési hányad) </t>
  </si>
  <si>
    <t xml:space="preserve">mi történhet a nyereséggel:  vagy kifizetik osztalékként , vagy visszaforgatják.      Osztalékfizetési hányad + visszaforgatási hányad = 100% </t>
  </si>
  <si>
    <t xml:space="preserve">visszaforgatási hányad = 100 % - osztalékfizetési hányad =  100% - 60% = 40% </t>
  </si>
  <si>
    <t xml:space="preserve">ROE mutató = saját tőke arányos nyereség =   adózott eredmény  / saját tőke =  200.000.000 / 1.000.000.000  =  0,2 = 20% </t>
  </si>
  <si>
    <t xml:space="preserve">visszaforgatási hányad "jele" = (100% - d ) vagy (1 - d) </t>
  </si>
  <si>
    <t>következő évi várható egy részvényre jutó nyereség = EPS1</t>
  </si>
  <si>
    <t>következő évi várható egy részvényreosztalék = DIV1</t>
  </si>
  <si>
    <t>EPS = egy részvényre jutó nyereség =  adózott eredmény   / részvények száma</t>
  </si>
  <si>
    <t>adózott eredmény = 200.000.000 Ft</t>
  </si>
  <si>
    <t>EPS0 (idei év)  /  200.000.000 / 1.000.000 db = 200 ft/db</t>
  </si>
  <si>
    <t>hogy lesz ebből EPS1 = ?</t>
  </si>
  <si>
    <t>tehát az osztalék (DIV) és a nyereség (EPS)  évente átlagosan hosszu távon 8%-kal nő.</t>
  </si>
  <si>
    <t>DIV 1 ???    Ha van EPS1, akkor abból számolható DIV1</t>
  </si>
  <si>
    <t>DIV1 = EPS1 * d = 216 * 60% =</t>
  </si>
  <si>
    <r>
      <t xml:space="preserve">ha van EPS0 és van növekeséi ütem (g) , akkor EPS1 számolható:     EPS1 = EPS0 + EPS0 * g  = 200 ft/db * 8% =  200 + 200*8% = 200 + 16 = </t>
    </r>
    <r>
      <rPr>
        <b/>
        <sz val="12"/>
        <color theme="1"/>
        <rFont val="Times New Roman"/>
        <family val="1"/>
        <charset val="238"/>
      </rPr>
      <t>216</t>
    </r>
  </si>
  <si>
    <t xml:space="preserve">Részvényárfolyam:  a jövőbeni CF jelenértéke </t>
  </si>
  <si>
    <t xml:space="preserve">a részvényárfolyamot hogyan jelöljük = PV = P0 </t>
  </si>
  <si>
    <t xml:space="preserve">azért van sok képlet, mert sokfajta jelenértészámitás létezik. </t>
  </si>
  <si>
    <t xml:space="preserve">Ha a részvény minden évben azonos összegű osztalékot fizet "örökké", akkor a képlet:    P0 = DIV / r   </t>
  </si>
  <si>
    <t xml:space="preserve">örökké:  a részvény élettartama határozatlan. </t>
  </si>
  <si>
    <t xml:space="preserve">Miért csak DIV,miért nincs megindexelve:   mert minden összeg azonos. </t>
  </si>
  <si>
    <t xml:space="preserve">mikor fizet minden évben azonos összegü osztalékot a részvény:    ha NINCS visszaforgatás, ezért NEM NŐ  a cég , ezért minden évben azonos a nyereség, és az osztalék is. </t>
  </si>
  <si>
    <t xml:space="preserve">mikor nincs visszaforgatás???    Ha a "d" azaz osztalékfizetési hányad éppen 100%. Ekkor mi a viszony DIV és EPS között??? </t>
  </si>
  <si>
    <t xml:space="preserve">DIV = EPS * d, ha a d = 100% (azaz 1), akkor  DIV = EPS * 1 =&gt;   ilyenkor DIV = EPS  (máskor nem azonosak) </t>
  </si>
  <si>
    <t xml:space="preserve">tehát a  P0 = DIV / r  úgy is irhatnám ilyenkor, hogy P0 = EPS / r  </t>
  </si>
  <si>
    <t xml:space="preserve">Ha a részvény örökké egy évente "g" %-kal növekvő osztalékt fizet, akkor a képlet :   P0 = DIV1/(r-g) </t>
  </si>
  <si>
    <t xml:space="preserve">Miért kell indexelni a DIV-et, azaz miért DIV1-et irtunk: mert évről évre változik a DIV, hiszen van növekedés. </t>
  </si>
  <si>
    <r>
      <t xml:space="preserve">osztalék növekedési üteme =  </t>
    </r>
    <r>
      <rPr>
        <b/>
        <u/>
        <sz val="12"/>
        <color theme="1"/>
        <rFont val="Times New Roman"/>
        <family val="1"/>
        <charset val="238"/>
      </rPr>
      <t>g  (growth) =  Saját tőke arányos nyereség * visszaforgatási hányad</t>
    </r>
    <r>
      <rPr>
        <sz val="12"/>
        <color theme="1"/>
        <rFont val="Times New Roman"/>
        <family val="2"/>
        <charset val="238"/>
      </rPr>
      <t xml:space="preserve">  = 20% * 40% = </t>
    </r>
  </si>
  <si>
    <t>honnan tudjuk hogy van-e növekedés :    a növekedés a "g". Ha a szöveg nem adja meg a g-t, számold ki, és ha nem nulla jön ki, akkor van növekedés.</t>
  </si>
  <si>
    <t>Ha a részvényt csak 1 évig tartjuk meg vásárlás után, és egy év múlva eladjuk  , akkor a képlet:  P0 = (DIV1 + P1)  / (1+r)</t>
  </si>
  <si>
    <t>P1: a következő évi eladási ár</t>
  </si>
  <si>
    <t xml:space="preserve">miért nem tart ez örökké: mert eladjuk </t>
  </si>
  <si>
    <t xml:space="preserve">miért (1+r)-rel kell osztani, és nem csak r-rel:  mert 1 év múlva eladjuk, tehát a számlálóban lévő DIV1+P1 értékét 1 évvel kell visszadiszkontálni ( jelenértékszámitás !!! ) </t>
  </si>
  <si>
    <t xml:space="preserve">a vizsgán az elmult két évben ilyen képlet soha nem kellett. </t>
  </si>
  <si>
    <t>Ha a részvény sok évig, de nem örökké tartjuk meg ( n évig ) , akkor a következő képlet kell:   P0 =  DIV1/(1+r)^1 + DIV2 / (1+r)^2 …. DIVn/(1+r)^n + Pn / (1+r)^n</t>
  </si>
  <si>
    <t>itt Pn az n év múlva lévő eladási ár</t>
  </si>
  <si>
    <t xml:space="preserve">a vizsgán az elmult 6 évben ilyen képlet soha nem kellett. </t>
  </si>
  <si>
    <t>Saját tőke = 60.000 eft    ( ROE mutatóhoz kell)</t>
  </si>
  <si>
    <t>részvények száma = 15.000 db</t>
  </si>
  <si>
    <t>Saját tőke arányos hozam = saját tőke arányos nyereség  = ROE  = k + 7%  = 6% + 7%  = 13 %   (tehát a k-t 6% -nak vettük)</t>
  </si>
  <si>
    <t>elvárt hozam = piaci hozam =  r = 13,5%</t>
  </si>
  <si>
    <t>a)  RÉSZVÉNY REÁLIS ÁRFOLYAMA , ha a teljes nyereséget kifzetik osztaléknak</t>
  </si>
  <si>
    <t>d = 100%       --&gt; ekkor a visszaforgatási hányad = 0% , tehát nem forgatnak vissza</t>
  </si>
  <si>
    <t xml:space="preserve">g (azaz a növekedés) képlete:   ROE  * visszaforgatási hányad. </t>
  </si>
  <si>
    <t xml:space="preserve">g = 13% * 0 = 0    tehát NINCS növekedés, és nem is adjuk el a részvényt : </t>
  </si>
  <si>
    <t>P0 = DIV / r</t>
  </si>
  <si>
    <t xml:space="preserve">ROE képlete = adózott eredmény / saját tőke  </t>
  </si>
  <si>
    <t xml:space="preserve">ebből az adózott eredmény kiszámitható: </t>
  </si>
  <si>
    <t xml:space="preserve">adózott eredmény = ROE * saját tőke = 13% * 60000 eft = </t>
  </si>
  <si>
    <t xml:space="preserve"> eft</t>
  </si>
  <si>
    <t>1 részvényre jutó nyereség = EPS = adózott eredmény  / részvények száma = 7800 eft / 15ezer db =</t>
  </si>
  <si>
    <t>Ft/db</t>
  </si>
  <si>
    <t>DIV = EPS * d = 520 * 100% = 520</t>
  </si>
  <si>
    <t xml:space="preserve">P0 = 520 / 0,135 = </t>
  </si>
  <si>
    <t>b)  RÉSZVÉNY REÁLIS ÁRFOLYAMA, ha csak 25%-ot fizetnek ki osztaléknak</t>
  </si>
  <si>
    <t xml:space="preserve">d = 25%,    ekkor a visszaforgatási hányad = 100% - 25% = 75% </t>
  </si>
  <si>
    <t xml:space="preserve">melyik árfolyamképlet kell??? </t>
  </si>
  <si>
    <t>van-e növekedés??? Azaz mennyi a g ??</t>
  </si>
  <si>
    <t xml:space="preserve">g = 13% * 75% = </t>
  </si>
  <si>
    <t>ekkor a képlet : P0 = DIV1 / (r-g)</t>
  </si>
  <si>
    <t>tehát VAN növekedés   (és nem adjuk el a részvényt)</t>
  </si>
  <si>
    <t>r:  van, 13,5%    g = van 9,75%</t>
  </si>
  <si>
    <t xml:space="preserve">DIV1 van-e?  Az a) kérdésbeli DIV = 520 itt nem jó. </t>
  </si>
  <si>
    <t>adózott eredmény = 7800 eft</t>
  </si>
  <si>
    <t>ez melyik év adózott eredménye ?? Ez mindig a jelenlegi, idei év adózott eredménye</t>
  </si>
  <si>
    <t>akkor az ebből számolt EPS = 7800 eft / 15edb = 520 Ft/db   EPS is az idei év EPS-e, azaz EPS0</t>
  </si>
  <si>
    <t xml:space="preserve">ha EPS0 = 520, és a g = 9,75%, akkor EPS1 =  EPS0 + EPS0*9,75% = 520 + 520*9,75% = </t>
  </si>
  <si>
    <t xml:space="preserve">a DIV1 = EPS1 * d = 570,7 * 25% = </t>
  </si>
  <si>
    <t xml:space="preserve">P0 = 142,675 / (0,135 - 0,0975 ) = </t>
  </si>
  <si>
    <t>c)   növekedési lehetőség jelenértéke ???     PVGO   a kérdés !!!</t>
  </si>
  <si>
    <t xml:space="preserve">van egy olyan árfolyamképlet, hogy P0 = EPS/r + PGVO </t>
  </si>
  <si>
    <t>ebből PVGO kifejezhető:</t>
  </si>
  <si>
    <t xml:space="preserve">PVGO = P0 - EPS/r   </t>
  </si>
  <si>
    <t xml:space="preserve">a PVGO KÉT ÁRFOLYAM KÜLÖNBSÉGE:    </t>
  </si>
  <si>
    <t xml:space="preserve">A P0 az az árfolyam, amikor van növekedéas </t>
  </si>
  <si>
    <t xml:space="preserve">az EPS/r  az az árfolyam, amikor NINCS növekedés </t>
  </si>
  <si>
    <t xml:space="preserve">P0 az itt most 3851,852 vagy a 3804,667 ??? </t>
  </si>
  <si>
    <t>az a)-ban nem volt növekedés, a b)-ben volt.</t>
  </si>
  <si>
    <t>tehát a P0-nak a b) kérdés válasza kell, azaz 3804,667</t>
  </si>
  <si>
    <t>az EPS/r =  az a) kérdés válasza = 3851,852</t>
  </si>
  <si>
    <t xml:space="preserve">tehát a c) válasza = 3804,667 - 3851,852 = </t>
  </si>
  <si>
    <t xml:space="preserve"> ennyi a PVGO</t>
  </si>
  <si>
    <t>értelmezés</t>
  </si>
  <si>
    <t>Ha a PVGO negativ az azt jelenti, hogy a részvényeseknek jobb lenne, ha a jelenben nagyobb összegü osztalékot kapnának, és kisebb lenne a hosszutávu növekedés</t>
  </si>
  <si>
    <t xml:space="preserve">Ha a PVGO pozitiv:  a részvényesek többre értékelik a magasabb, gyorsabb növekedést annál, hogy a jelenben sok osztalékot kapjanak. </t>
  </si>
  <si>
    <t>PVGO előjele számolás nélkül is látható:</t>
  </si>
  <si>
    <t>ha a ROE  &lt; elvárt hozam (  r  ) , akkor a PVGO  mindig negativ</t>
  </si>
  <si>
    <t>ha a ROE  &gt; elvárt hozam (  r  ) , akkor a PVGO  mindig pozitiv</t>
  </si>
  <si>
    <t xml:space="preserve">ha a ROE  = elvárt hozam (  r  ) , akkor a PVGO  nulla </t>
  </si>
  <si>
    <t>Saját tőke arányos hozam = ROE =  k + 8%, legyen k = 6%, tehát ROE = 6%+8% = 14%</t>
  </si>
  <si>
    <t>osztalékfizetési hányad = 20%   --&gt;    ekkor a visszaforgatási hányad 100% - 20% = 80%</t>
  </si>
  <si>
    <t>osztalék 1 év múlva = DIV1  =  180</t>
  </si>
  <si>
    <t>elvárt hozam = r = 15%</t>
  </si>
  <si>
    <t xml:space="preserve">mennyiért éri meg megvenni: elméleti árfolyam. </t>
  </si>
  <si>
    <t xml:space="preserve">P0 =  melyik képlet is kell???   </t>
  </si>
  <si>
    <t>van-e növekedés</t>
  </si>
  <si>
    <t xml:space="preserve">g = ROE * visszaforgatási hányad = 14% * 80% = </t>
  </si>
  <si>
    <t xml:space="preserve"> azaz VAN növekedés</t>
  </si>
  <si>
    <t xml:space="preserve">P0 = DIV1 / (r-g)   =  180 / (0,15 - 0,112) = </t>
  </si>
  <si>
    <t>Nettó jelenérték =  a hozamok jelenértékének és a kezdeti befektetés értékének a különbsége.</t>
  </si>
  <si>
    <t xml:space="preserve">Képletként:   NPV = PV hozamok (működési CF) - Kezdeti befektetés    </t>
  </si>
  <si>
    <t xml:space="preserve">a kezdeti befektetés "azonnal" történik, ezért a jelenértéke önmaga </t>
  </si>
  <si>
    <t xml:space="preserve">Képletgyűjteményekben =  - C0  + PV működési cf </t>
  </si>
  <si>
    <t>Kezdeti befektetés: adott</t>
  </si>
  <si>
    <t xml:space="preserve">Működési CF: általában adott, de ha NEM adják meg, akkor a képlet:    Éves adózott nyereség  + amortizáció (écs)        Écs:   kezdeti befektetés / hasznos élettartam </t>
  </si>
  <si>
    <t xml:space="preserve">Működési CF jelenértéke: </t>
  </si>
  <si>
    <t>ha a műk.CF minden évben azonos:    Műk Cf * Annuitásfaktor</t>
  </si>
  <si>
    <t xml:space="preserve">ha NEM azonos a műk CF évente:    MCF1 / (1+r)^1 + MCF2 / (1+r)^2 + MCF3 / (1+r)^3 …..   </t>
  </si>
  <si>
    <t xml:space="preserve">Kezdeti befektetés = 20000 </t>
  </si>
  <si>
    <t>élettartam = 6 év</t>
  </si>
  <si>
    <t xml:space="preserve">éves működési Cf:   6000 minden évben (azaz annuitás) </t>
  </si>
  <si>
    <t>tőke alternativa ktg = elvárt hozam = r = k+8%  , legyen k = 6%, és akkor r = 6%+8% = 14%</t>
  </si>
  <si>
    <t>a) NPV = ???</t>
  </si>
  <si>
    <t xml:space="preserve">NPV = működési Cf jelenértéke - kezdeti befektetés </t>
  </si>
  <si>
    <t>működési CF jelenérték =   műk. Cf * annuitásfaktor</t>
  </si>
  <si>
    <t>annuitásfaktor 6év, 14%</t>
  </si>
  <si>
    <t>Annuitásfaktor:  ( 1/r) - (1/r*(1+r)^n)  = (1/0,14) - (1/(0,14*1,14^6)) =</t>
  </si>
  <si>
    <t xml:space="preserve">műk CF jelenértéke = 6000 * 3,889 = </t>
  </si>
  <si>
    <t>NPV = 23.332,01 - 20000 =  +3.332,01</t>
  </si>
  <si>
    <t xml:space="preserve">értelmezés:  a beruházás 3332,01 eft-tal járul hozzá a vállalat értékéhez. </t>
  </si>
  <si>
    <t xml:space="preserve">b)  érdemes-e???     </t>
  </si>
  <si>
    <t xml:space="preserve">Ha a NPV   pozitiv, akkor érdemes, ha negativ, akkor nem érdemes, ha nulla, akkor semleges </t>
  </si>
  <si>
    <t>c)  belső megtérülési ráta  =  IRR</t>
  </si>
  <si>
    <t>az IRR az a hozam ( az a "r" ), amely esetén az NPV képlet végeredménye 0 .</t>
  </si>
  <si>
    <t xml:space="preserve">képlet: </t>
  </si>
  <si>
    <t>0 (mint NPV) = MCF  * annuitásfaktor (6év, r hozam)  - kezdeti befektetés</t>
  </si>
  <si>
    <t>0 = 6000 * Annuitásfaktor (6év, r hozam ) - 20000      / + 20000</t>
  </si>
  <si>
    <t>20000 = 6000 * Annuitásfaktor (6év, r hozam)  / : 6000</t>
  </si>
  <si>
    <t>20000/6000 = 3,333 = annuitásfaktor   (6év, rhozam)</t>
  </si>
  <si>
    <t>Annuitásfaktor:  ( 1/r) - (1/r*(1+r)^n)</t>
  </si>
  <si>
    <t xml:space="preserve"> (1/r) - (1/r*(1+r)^6) = 3,333</t>
  </si>
  <si>
    <t>két módón lehet megoldani:</t>
  </si>
  <si>
    <t xml:space="preserve">a)  táblázatos megoldás:  léteznek annuitás táblázatok, ahhonan kikereshető a végeredmény: nektek ilyen nincs. </t>
  </si>
  <si>
    <t xml:space="preserve">b) próbálgatós megoldás:  </t>
  </si>
  <si>
    <t>ha az r = 14%, akkor az annuitásfaktor 3,889</t>
  </si>
  <si>
    <t xml:space="preserve">az r és az annuitásfaktor ellentétes irányban változik. </t>
  </si>
  <si>
    <t xml:space="preserve">legyen az r = 16%   --&gt;   (1/0,16) - (1/(0,16*1,16^6)) = </t>
  </si>
  <si>
    <t xml:space="preserve">legyen az r = 20%  --&gt;  (1/0,2) - (1/0,2*1,2^6)) = </t>
  </si>
  <si>
    <t xml:space="preserve">legyen az r = 19%  --&gt;   (1/0,19) - (1/(0,19*1,19^6)) = </t>
  </si>
  <si>
    <t>a 3,333 az a 3,326 és 3,410 között van, tehát a belső megtérülési ráta (IRR)  az 19% és 20% közé esik</t>
  </si>
  <si>
    <t>értelmezés:  ha a belső megtérüléi ráta nagyobb mint az NPV-nél használt elvárt hozam (aklternativ ktg), akkor a beruházás megtérül, kedvező</t>
  </si>
  <si>
    <t>ha a belső megtérülési ráta kisebb mint az alternativa ktg, akkor NEM térül meg, nem kedvező.</t>
  </si>
  <si>
    <t xml:space="preserve">MOST:  Az IRR 19% és 20% között van, az alternativa ktg = 14%,tehát az IRR nagyobb, megéri. </t>
  </si>
  <si>
    <t xml:space="preserve">SML egyenes: security market line = értékpapir piaci egyenes.   Minden értékpapir piaci befektetés rajta van az egyenesen (vagy rákerül) </t>
  </si>
  <si>
    <t>függőleges tengely: elvárt hozam</t>
  </si>
  <si>
    <t>azt mutatja  a béta, hogy egy befektetés hozama hogyan reagál, hogyan változik a tőkepaici átlagos hozam változására</t>
  </si>
  <si>
    <t xml:space="preserve">minél nagyobb, annál kockázatosabb. </t>
  </si>
  <si>
    <t>vizsszintes tengely: BÉTA , ami a kockázat mértéke</t>
  </si>
  <si>
    <t xml:space="preserve">ha a Béta = 1   ez az átlagos kockázat a tőkepiacon.  </t>
  </si>
  <si>
    <t>ha a béta kisebb mint 1, akkor a befektetés kevésbé kockázatos, mint az átlagos befektetés</t>
  </si>
  <si>
    <t xml:space="preserve">ha a béta nagyobb mint 1, akkor nagyobb a kockázat minbt az átlagos kockázat.  </t>
  </si>
  <si>
    <t xml:space="preserve">hogy mérjük a tőkepiacot:  képezni kell piaci portfóliót: ez minden befektetésből tartalmaz.   Gyakran tekintik a tőzsdeindexeket  </t>
  </si>
  <si>
    <t>"M" pont:  a piaci portfólio egyensúlyi pontja. Az M-hez tartozó hozam = rM = a piaci portfólió hozama</t>
  </si>
  <si>
    <t>rf = kockázatmentes hozam   az rf-hez tartozó béta érték = 0</t>
  </si>
  <si>
    <t xml:space="preserve">CAPM-es egyenlet (képlet) =&gt;   ri = rf + BÉTA * (rm - rf) </t>
  </si>
  <si>
    <t xml:space="preserve">ri: az "i" nevü, befektetés hozama, "i": akármi lehet. </t>
  </si>
  <si>
    <t>egy befektetés várható hozama egyenesen arányos a BÉTÁ-val. Minél nagyobb a béta , annál nagyobb a hozam</t>
  </si>
  <si>
    <t>az rf és az rm minden befektetés esetében azonos , tehát csak a bétától függ a hozam. Ha ismerem a bétát, megvan a hozam</t>
  </si>
  <si>
    <t>BÉTA = 1,6</t>
  </si>
  <si>
    <t>kockázatmentes hozam = rf =  7%</t>
  </si>
  <si>
    <t xml:space="preserve">piaci portfólió hozama = rm = 15% </t>
  </si>
  <si>
    <t>részvény várható hozama = r i = ??</t>
  </si>
  <si>
    <t xml:space="preserve">ri = rf + BÉTA * (rm - rf) </t>
  </si>
  <si>
    <t xml:space="preserve">ri = 7% + 1,6 * (15% - 7%) = </t>
  </si>
  <si>
    <t>portfólió:   befektetési kosár: ha már két különböző részvény van, az már portfólió</t>
  </si>
  <si>
    <t>A részvény</t>
  </si>
  <si>
    <t>béta = 0,9</t>
  </si>
  <si>
    <t xml:space="preserve">a portfólióban a részaránya = 70% </t>
  </si>
  <si>
    <t xml:space="preserve">B részvény </t>
  </si>
  <si>
    <t>béta =  1,4</t>
  </si>
  <si>
    <t xml:space="preserve">a portfólióban a részaránya = 30% </t>
  </si>
  <si>
    <t>rf = kockázatmentes hozam = 5%</t>
  </si>
  <si>
    <t>rm = piaci portfólió hozama = 12%</t>
  </si>
  <si>
    <t>mekkora a portfólió bétája ??</t>
  </si>
  <si>
    <t>a portfólió bétája az egyes részvények bétájának a súlyozott átlaga</t>
  </si>
  <si>
    <t xml:space="preserve">BÉTA portfólió = 70% * 0,9 + 30% * 1,4 = </t>
  </si>
  <si>
    <t xml:space="preserve">mekkora a portfólió hozama ?? </t>
  </si>
  <si>
    <t xml:space="preserve">ri helyett r portfólió = rf + BÉTA * (rm - rf) = 5% + 1,05 * (12%-5%) = </t>
  </si>
  <si>
    <t>részvény bétája 1,3</t>
  </si>
  <si>
    <t>kockázatmentes kamatláb = k % = legyen 6%</t>
  </si>
  <si>
    <t>piaci kamatláb = rm = 18%</t>
  </si>
  <si>
    <t>a) 1,3-as béta értelmezése:   a részvény kockázata nagyobb mint az átlagos piaci kockázat</t>
  </si>
  <si>
    <t>b) a piaci portfólió kockázata: mindig 1 az értéke, azaz a részvény 1,3-as bétája nagyobb mint a piaci portfólió bétája, azaz kockázata</t>
  </si>
  <si>
    <t xml:space="preserve">c)  részvény hozam = ri =  rf + BÉTA * (rm-rf) = 6% + 1,3 * (18%-6% ) = </t>
  </si>
  <si>
    <t>Tőkeáttétel: felnagyitó hatás.       3 félét kell tudni :</t>
  </si>
  <si>
    <t>A) működési tőkeáttétel =  DOL</t>
  </si>
  <si>
    <t xml:space="preserve">B) finanszirozási (pénzügyi) tőkeáttétel =  DFL </t>
  </si>
  <si>
    <t xml:space="preserve">C)  Kombinált tőkeáttétel = DCL         DCL =  DOL * DFL </t>
  </si>
  <si>
    <t xml:space="preserve">DOL  képlete =( bevétel - változó ktg) /  üzemi eredmény </t>
  </si>
  <si>
    <t xml:space="preserve">üzemi eredmény = EBIT  </t>
  </si>
  <si>
    <t xml:space="preserve">EBIT =   bevétel - változó ktg - fix ktg </t>
  </si>
  <si>
    <t xml:space="preserve">DOL = (bevétel - változó ktg)  / EBIT </t>
  </si>
  <si>
    <t xml:space="preserve">DOL = (bevétel - változó ktg)  / (bevétel - változó ktg - fix ktg)  </t>
  </si>
  <si>
    <t xml:space="preserve">a DOL a FIX KTG felnagyitó hatását mutatja.  </t>
  </si>
  <si>
    <t xml:space="preserve">A DOL azt mutatja meg, hogy ha egy egységgel változik az árbevétel, akkor hány egységgel változik az EBIT </t>
  </si>
  <si>
    <t>minél nagyobb a DOL, annál kockázatosabb a tevékenység</t>
  </si>
  <si>
    <t xml:space="preserve">DFL képlete  : A DFL képletnek része az elsőbbségi részvények osztaléka, de azt Ti nem tanuljátok. </t>
  </si>
  <si>
    <t>a DFL képlete elsőbbségi részvény nélkül:   DFL = EBIT  / (EBIT - fizetett kamat)</t>
  </si>
  <si>
    <t xml:space="preserve">a DFL a fix kamatozásu idegen források (kölcsön, hitel, stb) felnagyitó hatását mutatja. </t>
  </si>
  <si>
    <t xml:space="preserve">minél nagyobb a DFL, annál a kockázatosabb a finanszirozás. </t>
  </si>
  <si>
    <t>Árbevétel = 200 mft</t>
  </si>
  <si>
    <t>Vált ktg = az árbevétel 60% = 200 * 60% = 120 mft</t>
  </si>
  <si>
    <t>fix ktg = 25 mft</t>
  </si>
  <si>
    <t>hitel = 150 mft</t>
  </si>
  <si>
    <t>kamatláb = 10%  --&gt; kamat összege = 150 * 10% = 15 mft</t>
  </si>
  <si>
    <t xml:space="preserve"> A) </t>
  </si>
  <si>
    <t>EBIT =  200 - 120 - 25 = 55 mft</t>
  </si>
  <si>
    <t>Adózás előtti eredmény = EBIT - kamat = 55 - 15 = 40</t>
  </si>
  <si>
    <t xml:space="preserve">B)  </t>
  </si>
  <si>
    <t xml:space="preserve">DOL = </t>
  </si>
  <si>
    <t xml:space="preserve">DOL = ( 200 - 120)  / 55 = </t>
  </si>
  <si>
    <t>ha az árbev 1%-kal nő, akkor az EBIT 1,45%-kal nő</t>
  </si>
  <si>
    <t xml:space="preserve">DFL = </t>
  </si>
  <si>
    <t>DFL = EBIT  / (EBIT - fizetett kamat)</t>
  </si>
  <si>
    <t xml:space="preserve">DFL = 55  / (55-15) = </t>
  </si>
  <si>
    <t>DCL =</t>
  </si>
  <si>
    <t xml:space="preserve">DCL = DOL * DFL  = 1,45 * 1,375 = </t>
  </si>
  <si>
    <t>legyen k = 6</t>
  </si>
  <si>
    <t xml:space="preserve">és akkor a DOL =  k / 2 = 3  </t>
  </si>
  <si>
    <t xml:space="preserve">kombinált tőkeáttétel = DCL = 7,5 </t>
  </si>
  <si>
    <t xml:space="preserve">mégegyszer: nem %. Hibás a példa ( a mértékegységet tekintve) </t>
  </si>
  <si>
    <t xml:space="preserve">a) mit mutat meg a DOL? </t>
  </si>
  <si>
    <t>most:  ha 3 a DOL, akkor 1%-nyi árbevétel változás esetén 3%-kal változik az EBIT</t>
  </si>
  <si>
    <t>b) mekkora a pénzügyi tőkeáttétel, azaz DFL</t>
  </si>
  <si>
    <t>de ehhez nincs adat….</t>
  </si>
  <si>
    <t>hanem ha ismert a DOL és a DCL , akkor</t>
  </si>
  <si>
    <t>DCL = DOL * DFL: ebből a DFL kifejezhető</t>
  </si>
  <si>
    <t xml:space="preserve">DFL = DCL / DOL =  7,5 / 3 = </t>
  </si>
  <si>
    <t>azt mutatja meg, hogy ha az EBIT változik 1%-kal, akkor az (EBIT - kamat), azaz az adózás előtti eredmény  2,5%-kal változik</t>
  </si>
  <si>
    <r>
      <t xml:space="preserve">Számviteli </t>
    </r>
    <r>
      <rPr>
        <b/>
        <sz val="12"/>
        <color theme="1"/>
        <rFont val="Times New Roman"/>
        <family val="1"/>
        <charset val="238"/>
      </rPr>
      <t>mérleg</t>
    </r>
    <r>
      <rPr>
        <sz val="12"/>
        <color theme="1"/>
        <rFont val="Times New Roman"/>
        <family val="2"/>
        <charset val="238"/>
      </rPr>
      <t xml:space="preserve"> a vállalati pénzügyekben (nagyon leegyszerüsített formátum)</t>
    </r>
  </si>
  <si>
    <t xml:space="preserve">eszközök összesen = források összesen </t>
  </si>
  <si>
    <t>42 mft az idegen forrás, azaz kötelezettség</t>
  </si>
  <si>
    <t xml:space="preserve">minden 100 ft saját forrásra (saját tőkére) 12 ft idegen forrás jut. </t>
  </si>
  <si>
    <t xml:space="preserve">a) mekkora a saját tőke       </t>
  </si>
  <si>
    <t>saját tőke =   idegen forrás összege / idegen forrás részaránya * saját forrás részaránya</t>
  </si>
  <si>
    <t xml:space="preserve">saját tőke = 42 mft / 12  * 100 = </t>
  </si>
  <si>
    <t xml:space="preserve"> mft </t>
  </si>
  <si>
    <t>b) idegen forrás aránya az összes forráson belül</t>
  </si>
  <si>
    <t>idegen forrás összege = 42</t>
  </si>
  <si>
    <t>összes forrás = saját  + idegen = 350 + 42 = 392</t>
  </si>
  <si>
    <t xml:space="preserve">idegen forrás aránya = 42 / 392 = </t>
  </si>
  <si>
    <t xml:space="preserve">( saját forrás aránya = 350 / 392 = </t>
  </si>
  <si>
    <t xml:space="preserve">likviditási mutatók:  </t>
  </si>
  <si>
    <t>két fő mutató van</t>
  </si>
  <si>
    <t>a) likviditási ráta =  forgóeszközök / rövid lejáratú kötelezettségek</t>
  </si>
  <si>
    <t>b) nettó forgótőke = forgóeszközök - rövid lejáratú kötelezettségek</t>
  </si>
  <si>
    <t>likviditása ráta = 1,5</t>
  </si>
  <si>
    <t>rövid lej.köt. = 600 eft</t>
  </si>
  <si>
    <t>ezeket a likv ráta képletébe behelyettesitem</t>
  </si>
  <si>
    <t>1,5 = forgóeszközök  / 600 eft        / *600eft</t>
  </si>
  <si>
    <t>1,5 * 600 eft = 900 eft = forgóeszközök</t>
  </si>
  <si>
    <t>a)  = 900 eft</t>
  </si>
  <si>
    <t>b)   nettó forgótőke = 900 eft - 600eft = +300 eft</t>
  </si>
  <si>
    <t>értelmezés: ha a nettó forgótőke pozitiv, akkor a vállalat eleget tud tenni az esedékes tartozásai (rövid lej köt) kifizetésének</t>
  </si>
  <si>
    <t>ha negativ: nem tud eleget tenni</t>
  </si>
  <si>
    <t>bef eszköz   55</t>
  </si>
  <si>
    <t>forgóeszköz 15</t>
  </si>
  <si>
    <t>összes eszköz =  55 + 15 = 70, és ez egyben az összes forrás értéke is</t>
  </si>
  <si>
    <t>saját tőke = az összes eszköz (avagy összes forrás) 70%-a --&gt;   70 * 70% = 49</t>
  </si>
  <si>
    <t>rövid lej köt = k millió  , legyen a k = 6, akkor 6 mft</t>
  </si>
  <si>
    <t>Befektetett eszközök  55</t>
  </si>
  <si>
    <t>Forgóeszközök    15</t>
  </si>
  <si>
    <r>
      <t xml:space="preserve">ESZKÖZÖK ÖSSZESEN = </t>
    </r>
    <r>
      <rPr>
        <b/>
        <sz val="12"/>
        <color theme="1"/>
        <rFont val="Times New Roman"/>
        <family val="1"/>
        <charset val="238"/>
      </rPr>
      <t>70</t>
    </r>
  </si>
  <si>
    <r>
      <t>FORRÁSOK ÖSSZESEN =</t>
    </r>
    <r>
      <rPr>
        <b/>
        <sz val="12"/>
        <color theme="1"/>
        <rFont val="Times New Roman"/>
        <family val="1"/>
        <charset val="238"/>
      </rPr>
      <t>7</t>
    </r>
    <r>
      <rPr>
        <sz val="12"/>
        <color theme="1"/>
        <rFont val="Times New Roman"/>
        <family val="2"/>
        <charset val="238"/>
      </rPr>
      <t>0</t>
    </r>
  </si>
  <si>
    <t>Saját tőke    49</t>
  </si>
  <si>
    <t>Rövid lej kötelezettségek   6</t>
  </si>
  <si>
    <t>a kötelezettség = 70 - 49 = 21</t>
  </si>
  <si>
    <t>Kötelezettségek (idegen források)   21</t>
  </si>
  <si>
    <t>a hosszu lej köt = 21 - 6 = 15</t>
  </si>
  <si>
    <t>Hosszu lej kötelezettségek  15</t>
  </si>
  <si>
    <t xml:space="preserve">a) nettó forgótőke =   </t>
  </si>
  <si>
    <t>nettó forgótőke = forgóeszközök - rövid lejáratú kötelezettségek =  15 - 6 = +9 mft</t>
  </si>
  <si>
    <t>3 féle lehet</t>
  </si>
  <si>
    <t>átmeneti forgóeszköz  &gt;  rövid lej köt    : konzervativ</t>
  </si>
  <si>
    <t>átmeneti forgóeszköz  =  rövid lej köt    : szolid</t>
  </si>
  <si>
    <t>átmeneti forgóeszköz  &lt;  rövid lej köt    : agressziv</t>
  </si>
  <si>
    <t xml:space="preserve">rövid lej köt = 6 </t>
  </si>
  <si>
    <t>összes forgóeszköz = 15</t>
  </si>
  <si>
    <t>tartósan lekötött = adott = 8,5</t>
  </si>
  <si>
    <t>átmeneti forgóeszköz = összes forgóeszköz - tartós forgóeszköz =  15 - 8,5 = 6,5</t>
  </si>
  <si>
    <t xml:space="preserve">átmenti forgóeszköz (6,5) &gt; rövid lej köt (6), ezért konzervativ </t>
  </si>
  <si>
    <t>c)   finanszirozási politika: +</t>
  </si>
  <si>
    <t xml:space="preserve">b) hosszu lej köt:   összes köt - rövid lej köt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</si>
</sst>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8" formatCode="0.0"/>
  </numFmts>
  <fonts count="14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2"/>
      <color theme="1"/>
      <name val="Times New Roman"/>
      <family val="1"/>
      <charset val="238"/>
    </font>
    <font>
      <sz val="8"/>
      <name val="Times New Roman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0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7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" xfId="0" applyBorder="1"/>
    <xf numFmtId="164" fontId="0" fillId="0" borderId="1" xfId="2" applyNumberFormat="1" applyFont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164" fontId="4" fillId="2" borderId="1" xfId="2" applyNumberFormat="1" applyFont="1" applyFill="1" applyBorder="1"/>
    <xf numFmtId="164" fontId="0" fillId="0" borderId="1" xfId="2" applyNumberFormat="1" applyFont="1" applyBorder="1" applyAlignment="1">
      <alignment vertical="center" wrapText="1"/>
    </xf>
    <xf numFmtId="164" fontId="0" fillId="0" borderId="1" xfId="2" applyNumberFormat="1" applyFont="1" applyBorder="1" applyAlignment="1">
      <alignment vertical="center"/>
    </xf>
    <xf numFmtId="0" fontId="0" fillId="0" borderId="15" xfId="0" applyBorder="1"/>
    <xf numFmtId="165" fontId="0" fillId="0" borderId="0" xfId="0" applyNumberFormat="1"/>
    <xf numFmtId="0" fontId="0" fillId="0" borderId="15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1" xfId="2" applyFont="1" applyBorder="1" applyAlignment="1">
      <alignment horizontal="center" vertical="center"/>
    </xf>
    <xf numFmtId="43" fontId="4" fillId="0" borderId="13" xfId="2" applyFont="1" applyBorder="1" applyAlignment="1">
      <alignment horizontal="center" vertical="center"/>
    </xf>
    <xf numFmtId="43" fontId="4" fillId="0" borderId="14" xfId="2" applyFont="1" applyBorder="1" applyAlignment="1">
      <alignment horizontal="center" vertical="center"/>
    </xf>
    <xf numFmtId="43" fontId="4" fillId="0" borderId="16" xfId="2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43" fontId="0" fillId="0" borderId="13" xfId="2" applyFont="1" applyBorder="1" applyAlignment="1">
      <alignment horizontal="center" vertical="center"/>
    </xf>
    <xf numFmtId="43" fontId="0" fillId="0" borderId="14" xfId="2" applyFont="1" applyBorder="1" applyAlignment="1">
      <alignment horizontal="center" vertical="center"/>
    </xf>
    <xf numFmtId="43" fontId="0" fillId="0" borderId="16" xfId="2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20" xfId="0" applyFont="1" applyBorder="1" applyAlignment="1"/>
    <xf numFmtId="0" fontId="4" fillId="0" borderId="21" xfId="0" applyFont="1" applyBorder="1" applyAlignment="1"/>
    <xf numFmtId="164" fontId="12" fillId="2" borderId="1" xfId="2" applyNumberFormat="1" applyFont="1" applyFill="1" applyBorder="1"/>
    <xf numFmtId="165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/>
    </xf>
    <xf numFmtId="168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0" fillId="0" borderId="0" xfId="0" applyNumberFormat="1"/>
    <xf numFmtId="0" fontId="0" fillId="0" borderId="2" xfId="0" applyBorder="1"/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23" xfId="0" applyBorder="1"/>
    <xf numFmtId="0" fontId="0" fillId="0" borderId="7" xfId="0" applyBorder="1"/>
    <xf numFmtId="0" fontId="0" fillId="0" borderId="0" xfId="0" applyAlignment="1">
      <alignment horizontal="left"/>
    </xf>
    <xf numFmtId="43" fontId="0" fillId="0" borderId="0" xfId="2" applyNumberFormat="1" applyFont="1"/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88</xdr:row>
      <xdr:rowOff>38100</xdr:rowOff>
    </xdr:from>
    <xdr:to>
      <xdr:col>8</xdr:col>
      <xdr:colOff>294698</xdr:colOff>
      <xdr:row>101</xdr:row>
      <xdr:rowOff>68085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A8A4209-439E-438A-80DB-2BD11001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7823180"/>
          <a:ext cx="6695498" cy="2605545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130</xdr:row>
      <xdr:rowOff>91440</xdr:rowOff>
    </xdr:from>
    <xdr:to>
      <xdr:col>8</xdr:col>
      <xdr:colOff>405366</xdr:colOff>
      <xdr:row>138</xdr:row>
      <xdr:rowOff>160031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E33D68E-7189-44D6-B1F0-184A3685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" y="26243280"/>
          <a:ext cx="6752826" cy="1653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123</xdr:row>
      <xdr:rowOff>68580</xdr:rowOff>
    </xdr:from>
    <xdr:to>
      <xdr:col>10</xdr:col>
      <xdr:colOff>231574</xdr:colOff>
      <xdr:row>141</xdr:row>
      <xdr:rowOff>178610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ED95D38-BE8C-EEFD-4D20-1CFD89A58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24444960"/>
          <a:ext cx="6685714" cy="3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200</xdr:row>
      <xdr:rowOff>182468</xdr:rowOff>
    </xdr:from>
    <xdr:to>
      <xdr:col>10</xdr:col>
      <xdr:colOff>541020</xdr:colOff>
      <xdr:row>211</xdr:row>
      <xdr:rowOff>186369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B33B98A0-9E39-45C3-4A66-E104CE77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39814088"/>
          <a:ext cx="7139940" cy="218322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89</xdr:row>
      <xdr:rowOff>76200</xdr:rowOff>
    </xdr:from>
    <xdr:to>
      <xdr:col>12</xdr:col>
      <xdr:colOff>326708</xdr:colOff>
      <xdr:row>96</xdr:row>
      <xdr:rowOff>51265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CD80EA1-BDB9-5A58-2AFE-FBC617C4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" y="17716500"/>
          <a:ext cx="7619048" cy="1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137160</xdr:rowOff>
    </xdr:from>
    <xdr:to>
      <xdr:col>9</xdr:col>
      <xdr:colOff>650674</xdr:colOff>
      <xdr:row>172</xdr:row>
      <xdr:rowOff>49070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AF6E55E-9D56-4384-ADF6-7991B6B8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57140"/>
          <a:ext cx="6685714" cy="3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114300</xdr:rowOff>
    </xdr:from>
    <xdr:to>
      <xdr:col>10</xdr:col>
      <xdr:colOff>458269</xdr:colOff>
      <xdr:row>30</xdr:row>
      <xdr:rowOff>73887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FA40228-F58B-5E1E-6E09-BC5917C4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84220"/>
          <a:ext cx="7163869" cy="2733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76200</xdr:rowOff>
    </xdr:from>
    <xdr:to>
      <xdr:col>8</xdr:col>
      <xdr:colOff>140282</xdr:colOff>
      <xdr:row>111</xdr:row>
      <xdr:rowOff>102644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304EDDB-2099-4069-9CA7-2C916912F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284440"/>
          <a:ext cx="5504762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129541</xdr:colOff>
      <xdr:row>68</xdr:row>
      <xdr:rowOff>188842</xdr:rowOff>
    </xdr:from>
    <xdr:to>
      <xdr:col>10</xdr:col>
      <xdr:colOff>327661</xdr:colOff>
      <xdr:row>81</xdr:row>
      <xdr:rowOff>167259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3E1AA7C-6A2A-8C83-D7FB-962C0783F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1" y="13661002"/>
          <a:ext cx="6903720" cy="2553977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358141</xdr:colOff>
      <xdr:row>15</xdr:row>
      <xdr:rowOff>122144</xdr:rowOff>
    </xdr:from>
    <xdr:to>
      <xdr:col>7</xdr:col>
      <xdr:colOff>449580</xdr:colOff>
      <xdr:row>28</xdr:row>
      <xdr:rowOff>45802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37FC3C8-69A9-4D3F-EFC3-D34D33285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1" y="3490184"/>
          <a:ext cx="4785359" cy="249921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647701</xdr:colOff>
      <xdr:row>33</xdr:row>
      <xdr:rowOff>182880</xdr:rowOff>
    </xdr:from>
    <xdr:to>
      <xdr:col>9</xdr:col>
      <xdr:colOff>243841</xdr:colOff>
      <xdr:row>54</xdr:row>
      <xdr:rowOff>61479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44A1279A-F264-2079-DBB3-E5F64FA1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701" y="6720840"/>
          <a:ext cx="5631180" cy="4039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68</xdr:row>
      <xdr:rowOff>113724</xdr:rowOff>
    </xdr:from>
    <xdr:to>
      <xdr:col>7</xdr:col>
      <xdr:colOff>220980</xdr:colOff>
      <xdr:row>89</xdr:row>
      <xdr:rowOff>73757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2C553A8-311E-22A6-0673-C2D2153B1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3768764"/>
          <a:ext cx="5554980" cy="4120553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21</xdr:row>
      <xdr:rowOff>106680</xdr:rowOff>
    </xdr:from>
    <xdr:to>
      <xdr:col>8</xdr:col>
      <xdr:colOff>651154</xdr:colOff>
      <xdr:row>29</xdr:row>
      <xdr:rowOff>49270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3C31183-EB77-3B32-A2B3-5621837D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" y="4450080"/>
          <a:ext cx="6930034" cy="1527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41</xdr:row>
      <xdr:rowOff>182880</xdr:rowOff>
    </xdr:from>
    <xdr:to>
      <xdr:col>8</xdr:col>
      <xdr:colOff>44939</xdr:colOff>
      <xdr:row>49</xdr:row>
      <xdr:rowOff>140777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454B2EA-1BAF-C6B8-CBD7-B158EE1B1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" y="8488680"/>
          <a:ext cx="6247619" cy="1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7</xdr:col>
      <xdr:colOff>137160</xdr:colOff>
      <xdr:row>119</xdr:row>
      <xdr:rowOff>158153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B5DF867-CEC4-4EF6-9BD7-5438AD6B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96760"/>
          <a:ext cx="5554980" cy="41205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30</xdr:row>
      <xdr:rowOff>160020</xdr:rowOff>
    </xdr:from>
    <xdr:to>
      <xdr:col>8</xdr:col>
      <xdr:colOff>259080</xdr:colOff>
      <xdr:row>41</xdr:row>
      <xdr:rowOff>182880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684786C-F729-F04D-9A31-4C43F5E9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103620"/>
          <a:ext cx="543306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15</xdr:row>
      <xdr:rowOff>167640</xdr:rowOff>
    </xdr:from>
    <xdr:to>
      <xdr:col>10</xdr:col>
      <xdr:colOff>174417</xdr:colOff>
      <xdr:row>25</xdr:row>
      <xdr:rowOff>119773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F450237-6A50-4970-6A4F-2E2D846A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" y="3139440"/>
          <a:ext cx="6742857" cy="19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63</xdr:row>
      <xdr:rowOff>152400</xdr:rowOff>
    </xdr:from>
    <xdr:to>
      <xdr:col>8</xdr:col>
      <xdr:colOff>250784</xdr:colOff>
      <xdr:row>72</xdr:row>
      <xdr:rowOff>55034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C146D2E-8466-08B0-37B1-EA26C13E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12633960"/>
          <a:ext cx="5409524" cy="1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32</xdr:row>
      <xdr:rowOff>182074</xdr:rowOff>
    </xdr:from>
    <xdr:to>
      <xdr:col>9</xdr:col>
      <xdr:colOff>548640</xdr:colOff>
      <xdr:row>41</xdr:row>
      <xdr:rowOff>53069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216DF7D-01C6-3F58-3BCE-F370A93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521914"/>
          <a:ext cx="6507480" cy="1654075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12</xdr:row>
      <xdr:rowOff>159781</xdr:rowOff>
    </xdr:from>
    <xdr:to>
      <xdr:col>8</xdr:col>
      <xdr:colOff>259922</xdr:colOff>
      <xdr:row>26</xdr:row>
      <xdr:rowOff>159449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DC8A992-FDBD-7D3A-09A4-E65B104C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820" y="2537221"/>
          <a:ext cx="5159582" cy="2773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D76A-0AE6-46CD-B06D-8DC7EB509665}">
  <dimension ref="B2:R162"/>
  <sheetViews>
    <sheetView topLeftCell="A145" workbookViewId="0">
      <selection activeCell="B158" sqref="B158"/>
    </sheetView>
  </sheetViews>
  <sheetFormatPr defaultRowHeight="15.6" x14ac:dyDescent="0.3"/>
  <cols>
    <col min="2" max="2" width="11.69921875" customWidth="1"/>
    <col min="3" max="3" width="10.3984375" customWidth="1"/>
    <col min="4" max="6" width="10.69921875" customWidth="1"/>
    <col min="7" max="7" width="10.8984375" customWidth="1"/>
    <col min="8" max="8" width="10.69921875" customWidth="1"/>
    <col min="10" max="10" width="10.69921875" customWidth="1"/>
    <col min="12" max="12" width="10.69921875" customWidth="1"/>
  </cols>
  <sheetData>
    <row r="2" spans="2:18" x14ac:dyDescent="0.3"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2:18" x14ac:dyDescent="0.3">
      <c r="B4" t="s">
        <v>44</v>
      </c>
    </row>
    <row r="6" spans="2:18" x14ac:dyDescent="0.3">
      <c r="B6" s="4" t="s">
        <v>45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8" spans="2:18" x14ac:dyDescent="0.3">
      <c r="C8" t="s">
        <v>92</v>
      </c>
    </row>
    <row r="9" spans="2:18" ht="16.2" thickBot="1" x14ac:dyDescent="0.35"/>
    <row r="10" spans="2:18" x14ac:dyDescent="0.3">
      <c r="B10" s="44" t="s">
        <v>46</v>
      </c>
      <c r="C10" s="45"/>
      <c r="D10" s="45"/>
      <c r="E10" s="46"/>
    </row>
    <row r="11" spans="2:18" ht="16.2" thickBot="1" x14ac:dyDescent="0.35">
      <c r="B11" s="47"/>
      <c r="C11" s="48"/>
      <c r="D11" s="48"/>
      <c r="E11" s="49"/>
    </row>
    <row r="13" spans="2:18" x14ac:dyDescent="0.3">
      <c r="B13" t="s">
        <v>47</v>
      </c>
    </row>
    <row r="15" spans="2:18" x14ac:dyDescent="0.3">
      <c r="B15" t="s">
        <v>48</v>
      </c>
    </row>
    <row r="16" spans="2:18" x14ac:dyDescent="0.3">
      <c r="B16" t="s">
        <v>49</v>
      </c>
    </row>
    <row r="17" spans="2:9" x14ac:dyDescent="0.3">
      <c r="B17" t="s">
        <v>50</v>
      </c>
      <c r="F17" t="s">
        <v>94</v>
      </c>
    </row>
    <row r="18" spans="2:9" ht="16.2" x14ac:dyDescent="0.35">
      <c r="B18" s="5" t="s">
        <v>93</v>
      </c>
      <c r="C18" s="5"/>
      <c r="D18" s="5"/>
    </row>
    <row r="19" spans="2:9" ht="16.2" x14ac:dyDescent="0.35">
      <c r="B19" s="9" t="s">
        <v>51</v>
      </c>
      <c r="C19" s="5"/>
      <c r="D19" s="5"/>
    </row>
    <row r="21" spans="2:9" x14ac:dyDescent="0.3">
      <c r="B21" s="50" t="s">
        <v>52</v>
      </c>
      <c r="C21" s="51"/>
      <c r="D21" s="51"/>
      <c r="E21" s="51"/>
      <c r="F21" s="51"/>
      <c r="G21" s="52"/>
    </row>
    <row r="22" spans="2:9" x14ac:dyDescent="0.3">
      <c r="B22" s="10"/>
      <c r="C22" s="11" t="s">
        <v>53</v>
      </c>
      <c r="D22" s="11" t="s">
        <v>54</v>
      </c>
      <c r="E22" s="11" t="s">
        <v>55</v>
      </c>
      <c r="F22" s="11" t="s">
        <v>56</v>
      </c>
      <c r="G22" s="11" t="s">
        <v>57</v>
      </c>
    </row>
    <row r="23" spans="2:9" x14ac:dyDescent="0.3">
      <c r="B23" s="12" t="s">
        <v>58</v>
      </c>
      <c r="C23" s="13">
        <v>0</v>
      </c>
      <c r="D23" s="13">
        <v>0</v>
      </c>
      <c r="E23" s="13">
        <v>0</v>
      </c>
      <c r="F23" s="13">
        <v>0</v>
      </c>
      <c r="G23" s="13">
        <v>100000</v>
      </c>
    </row>
    <row r="24" spans="2:9" x14ac:dyDescent="0.3">
      <c r="B24" s="14" t="s">
        <v>59</v>
      </c>
      <c r="C24" s="17">
        <v>12000</v>
      </c>
      <c r="D24" s="18">
        <v>12000</v>
      </c>
      <c r="E24" s="18">
        <v>12000</v>
      </c>
      <c r="F24" s="18">
        <v>12000</v>
      </c>
      <c r="G24" s="18">
        <v>12000</v>
      </c>
      <c r="I24" t="s">
        <v>95</v>
      </c>
    </row>
    <row r="25" spans="2:9" x14ac:dyDescent="0.3">
      <c r="B25" s="15" t="s">
        <v>60</v>
      </c>
      <c r="C25" s="16">
        <f>C23+C24</f>
        <v>12000</v>
      </c>
      <c r="D25" s="16">
        <f t="shared" ref="D25:G25" si="0">D23+D24</f>
        <v>12000</v>
      </c>
      <c r="E25" s="16">
        <f t="shared" si="0"/>
        <v>12000</v>
      </c>
      <c r="F25" s="16">
        <f t="shared" si="0"/>
        <v>12000</v>
      </c>
      <c r="G25" s="16">
        <f t="shared" si="0"/>
        <v>112000</v>
      </c>
    </row>
    <row r="27" spans="2:9" ht="16.2" thickBot="1" x14ac:dyDescent="0.35"/>
    <row r="28" spans="2:9" ht="21.6" customHeight="1" x14ac:dyDescent="0.3">
      <c r="B28" s="53" t="s">
        <v>61</v>
      </c>
      <c r="C28" s="54"/>
      <c r="D28" s="54"/>
      <c r="E28" s="55"/>
    </row>
    <row r="29" spans="2:9" ht="22.2" customHeight="1" thickBot="1" x14ac:dyDescent="0.35">
      <c r="B29" s="56"/>
      <c r="C29" s="57"/>
      <c r="D29" s="57"/>
      <c r="E29" s="58"/>
    </row>
    <row r="31" spans="2:9" x14ac:dyDescent="0.3">
      <c r="B31" t="s">
        <v>62</v>
      </c>
    </row>
    <row r="33" spans="2:16" x14ac:dyDescent="0.3">
      <c r="B33" t="s">
        <v>96</v>
      </c>
    </row>
    <row r="34" spans="2:16" x14ac:dyDescent="0.3">
      <c r="B34" t="s">
        <v>97</v>
      </c>
    </row>
    <row r="36" spans="2:16" x14ac:dyDescent="0.3">
      <c r="B36" t="s">
        <v>98</v>
      </c>
    </row>
    <row r="37" spans="2:16" x14ac:dyDescent="0.3">
      <c r="C37" t="s">
        <v>99</v>
      </c>
    </row>
    <row r="38" spans="2:16" x14ac:dyDescent="0.3">
      <c r="C38" t="s">
        <v>100</v>
      </c>
    </row>
    <row r="40" spans="2:16" x14ac:dyDescent="0.3">
      <c r="B40" t="s">
        <v>63</v>
      </c>
    </row>
    <row r="42" spans="2:16" ht="16.2" thickBot="1" x14ac:dyDescent="0.35"/>
    <row r="43" spans="2:16" ht="16.2" thickBot="1" x14ac:dyDescent="0.35">
      <c r="B43" s="40" t="s">
        <v>72</v>
      </c>
      <c r="C43" s="41"/>
      <c r="D43" s="26" t="s">
        <v>65</v>
      </c>
      <c r="E43" s="21" t="s">
        <v>74</v>
      </c>
      <c r="F43" s="26" t="s">
        <v>64</v>
      </c>
      <c r="G43" s="21" t="s">
        <v>76</v>
      </c>
      <c r="H43" s="26" t="s">
        <v>64</v>
      </c>
      <c r="I43" s="21" t="s">
        <v>78</v>
      </c>
      <c r="J43" s="26" t="s">
        <v>80</v>
      </c>
    </row>
    <row r="44" spans="2:16" ht="16.2" thickBot="1" x14ac:dyDescent="0.35">
      <c r="B44" s="42"/>
      <c r="C44" s="43"/>
      <c r="D44" s="26"/>
      <c r="E44" s="22" t="s">
        <v>75</v>
      </c>
      <c r="F44" s="26"/>
      <c r="G44" s="22" t="s">
        <v>77</v>
      </c>
      <c r="H44" s="26"/>
      <c r="I44" s="22" t="s">
        <v>79</v>
      </c>
      <c r="J44" s="26"/>
    </row>
    <row r="47" spans="2:16" ht="16.2" thickBot="1" x14ac:dyDescent="0.35"/>
    <row r="48" spans="2:16" ht="16.2" thickBot="1" x14ac:dyDescent="0.35">
      <c r="B48" s="40" t="s">
        <v>72</v>
      </c>
      <c r="C48" s="41"/>
      <c r="D48" s="26" t="s">
        <v>65</v>
      </c>
      <c r="E48" s="21">
        <v>12000</v>
      </c>
      <c r="F48" s="26" t="s">
        <v>64</v>
      </c>
      <c r="G48" s="21">
        <v>12000</v>
      </c>
      <c r="H48" s="26" t="s">
        <v>64</v>
      </c>
      <c r="I48" s="21">
        <v>12000</v>
      </c>
      <c r="J48" s="26" t="s">
        <v>64</v>
      </c>
      <c r="K48" s="21">
        <v>12000</v>
      </c>
      <c r="L48" s="26" t="s">
        <v>64</v>
      </c>
      <c r="M48" s="21">
        <v>112000</v>
      </c>
      <c r="N48" s="26" t="s">
        <v>65</v>
      </c>
      <c r="O48" s="27" t="s">
        <v>71</v>
      </c>
      <c r="P48" s="28"/>
    </row>
    <row r="49" spans="2:16" ht="16.2" thickBot="1" x14ac:dyDescent="0.35">
      <c r="B49" s="42"/>
      <c r="C49" s="43"/>
      <c r="D49" s="26"/>
      <c r="E49" s="22" t="s">
        <v>66</v>
      </c>
      <c r="F49" s="26"/>
      <c r="G49" s="22" t="s">
        <v>67</v>
      </c>
      <c r="H49" s="26"/>
      <c r="I49" s="22" t="s">
        <v>68</v>
      </c>
      <c r="J49" s="26"/>
      <c r="K49" s="22" t="s">
        <v>69</v>
      </c>
      <c r="L49" s="26"/>
      <c r="M49" s="22" t="s">
        <v>70</v>
      </c>
      <c r="N49" s="26"/>
      <c r="O49" s="29"/>
      <c r="P49" s="30"/>
    </row>
    <row r="50" spans="2:16" ht="16.2" thickBot="1" x14ac:dyDescent="0.35"/>
    <row r="51" spans="2:16" ht="16.2" thickBot="1" x14ac:dyDescent="0.35">
      <c r="B51" s="40" t="s">
        <v>73</v>
      </c>
      <c r="C51" s="41"/>
      <c r="D51" s="26" t="s">
        <v>65</v>
      </c>
      <c r="E51" s="19">
        <v>12000</v>
      </c>
      <c r="F51" s="26" t="s">
        <v>64</v>
      </c>
      <c r="G51" s="19">
        <v>12000</v>
      </c>
      <c r="H51" s="26" t="s">
        <v>64</v>
      </c>
      <c r="I51" s="19">
        <v>12000</v>
      </c>
      <c r="J51" s="26" t="s">
        <v>64</v>
      </c>
      <c r="K51" s="19">
        <v>12000</v>
      </c>
      <c r="L51" s="26" t="s">
        <v>64</v>
      </c>
      <c r="M51" s="19">
        <v>112000</v>
      </c>
      <c r="N51" s="26" t="s">
        <v>65</v>
      </c>
      <c r="O51" s="36">
        <f>E51/E52+G51/G52+I51/I52+K51/K52+M51/M52</f>
        <v>103695.89701764943</v>
      </c>
      <c r="P51" s="37"/>
    </row>
    <row r="52" spans="2:16" ht="16.2" thickBot="1" x14ac:dyDescent="0.35">
      <c r="B52" s="42"/>
      <c r="C52" s="43"/>
      <c r="D52" s="26"/>
      <c r="E52" s="20">
        <f>(1+0.11)^1</f>
        <v>1.1100000000000001</v>
      </c>
      <c r="F52" s="26"/>
      <c r="G52" s="20">
        <f>(1+0.11)^2</f>
        <v>1.2321000000000002</v>
      </c>
      <c r="H52" s="26"/>
      <c r="I52" s="20">
        <f>(1+0.11)^3</f>
        <v>1.3676310000000003</v>
      </c>
      <c r="J52" s="26"/>
      <c r="K52" s="20">
        <f>(1+0.11)^4</f>
        <v>1.5180704100000004</v>
      </c>
      <c r="L52" s="26"/>
      <c r="M52" s="20">
        <f>(1+0.11)^5</f>
        <v>1.6850581551000006</v>
      </c>
      <c r="N52" s="26"/>
      <c r="O52" s="38"/>
      <c r="P52" s="39"/>
    </row>
    <row r="54" spans="2:16" x14ac:dyDescent="0.3">
      <c r="C54" t="s">
        <v>101</v>
      </c>
    </row>
    <row r="56" spans="2:16" x14ac:dyDescent="0.3">
      <c r="B56" t="s">
        <v>102</v>
      </c>
    </row>
    <row r="57" spans="2:16" x14ac:dyDescent="0.3">
      <c r="B57" t="s">
        <v>103</v>
      </c>
    </row>
    <row r="58" spans="2:16" x14ac:dyDescent="0.3">
      <c r="B58" t="s">
        <v>104</v>
      </c>
    </row>
    <row r="59" spans="2:16" x14ac:dyDescent="0.3">
      <c r="B59" t="s">
        <v>105</v>
      </c>
    </row>
    <row r="60" spans="2:16" x14ac:dyDescent="0.3">
      <c r="B60" t="s">
        <v>106</v>
      </c>
    </row>
    <row r="62" spans="2:16" x14ac:dyDescent="0.3">
      <c r="B62" t="s">
        <v>81</v>
      </c>
    </row>
    <row r="63" spans="2:16" ht="16.2" thickBot="1" x14ac:dyDescent="0.35"/>
    <row r="64" spans="2:16" ht="16.2" thickBot="1" x14ac:dyDescent="0.35">
      <c r="B64" s="71" t="s">
        <v>52</v>
      </c>
      <c r="C64" s="72"/>
    </row>
    <row r="65" spans="2:12" x14ac:dyDescent="0.3">
      <c r="B65" s="10"/>
      <c r="C65" s="11" t="s">
        <v>53</v>
      </c>
      <c r="D65" s="6" t="s">
        <v>54</v>
      </c>
      <c r="E65" s="6" t="s">
        <v>55</v>
      </c>
      <c r="F65" s="6" t="s">
        <v>56</v>
      </c>
      <c r="G65" s="6" t="s">
        <v>57</v>
      </c>
    </row>
    <row r="66" spans="2:12" x14ac:dyDescent="0.3">
      <c r="B66" s="12" t="s">
        <v>58</v>
      </c>
      <c r="C66" s="13">
        <v>0</v>
      </c>
      <c r="D66" s="13">
        <v>0</v>
      </c>
      <c r="E66" s="13">
        <v>0</v>
      </c>
      <c r="F66" s="13">
        <v>0</v>
      </c>
      <c r="G66" s="13">
        <v>100000</v>
      </c>
      <c r="I66" t="s">
        <v>62</v>
      </c>
    </row>
    <row r="67" spans="2:12" x14ac:dyDescent="0.3">
      <c r="B67" s="12" t="s">
        <v>59</v>
      </c>
      <c r="C67" s="17">
        <v>12000</v>
      </c>
      <c r="D67" s="18">
        <v>12000</v>
      </c>
      <c r="E67" s="18">
        <v>12000</v>
      </c>
      <c r="F67" s="18">
        <v>12000</v>
      </c>
      <c r="G67" s="18">
        <v>12000</v>
      </c>
    </row>
    <row r="68" spans="2:12" x14ac:dyDescent="0.3">
      <c r="B68" s="15" t="s">
        <v>60</v>
      </c>
      <c r="C68" s="73">
        <f>C66+C67</f>
        <v>12000</v>
      </c>
      <c r="D68" s="73">
        <f t="shared" ref="D68:G68" si="1">D66+D67</f>
        <v>12000</v>
      </c>
      <c r="E68" s="16">
        <f t="shared" si="1"/>
        <v>12000</v>
      </c>
      <c r="F68" s="16">
        <f t="shared" si="1"/>
        <v>12000</v>
      </c>
      <c r="G68" s="16">
        <f t="shared" si="1"/>
        <v>112000</v>
      </c>
    </row>
    <row r="70" spans="2:12" x14ac:dyDescent="0.3">
      <c r="B70" t="s">
        <v>82</v>
      </c>
    </row>
    <row r="71" spans="2:12" ht="16.2" thickBot="1" x14ac:dyDescent="0.35"/>
    <row r="72" spans="2:12" ht="16.2" thickBot="1" x14ac:dyDescent="0.35">
      <c r="B72" s="31" t="s">
        <v>83</v>
      </c>
      <c r="C72" s="32"/>
      <c r="D72" s="26" t="s">
        <v>65</v>
      </c>
      <c r="E72" s="21">
        <f>E68</f>
        <v>12000</v>
      </c>
      <c r="F72" s="26" t="s">
        <v>64</v>
      </c>
      <c r="G72" s="21">
        <f>F68</f>
        <v>12000</v>
      </c>
      <c r="H72" s="26" t="s">
        <v>64</v>
      </c>
      <c r="I72" s="21">
        <f>G68</f>
        <v>112000</v>
      </c>
      <c r="J72" s="26" t="s">
        <v>65</v>
      </c>
      <c r="K72" s="27" t="s">
        <v>84</v>
      </c>
      <c r="L72" s="28"/>
    </row>
    <row r="73" spans="2:12" ht="16.2" thickBot="1" x14ac:dyDescent="0.35">
      <c r="B73" s="33"/>
      <c r="C73" s="34"/>
      <c r="D73" s="26"/>
      <c r="E73" s="25" t="s">
        <v>75</v>
      </c>
      <c r="F73" s="26"/>
      <c r="G73" s="25" t="s">
        <v>77</v>
      </c>
      <c r="H73" s="26"/>
      <c r="I73" s="25" t="s">
        <v>79</v>
      </c>
      <c r="J73" s="26"/>
      <c r="K73" s="29"/>
      <c r="L73" s="30"/>
    </row>
    <row r="75" spans="2:12" ht="16.2" thickBot="1" x14ac:dyDescent="0.35"/>
    <row r="76" spans="2:12" ht="16.2" thickBot="1" x14ac:dyDescent="0.35">
      <c r="B76" s="31" t="s">
        <v>83</v>
      </c>
      <c r="C76" s="32"/>
      <c r="D76" s="26" t="s">
        <v>65</v>
      </c>
      <c r="E76" s="23">
        <f>E72</f>
        <v>12000</v>
      </c>
      <c r="F76" s="35" t="s">
        <v>64</v>
      </c>
      <c r="G76" s="23">
        <f>G72</f>
        <v>12000</v>
      </c>
      <c r="H76" s="35" t="s">
        <v>64</v>
      </c>
      <c r="I76" s="23">
        <f>I72</f>
        <v>112000</v>
      </c>
      <c r="J76" s="26" t="s">
        <v>65</v>
      </c>
      <c r="K76" s="27" t="s">
        <v>85</v>
      </c>
      <c r="L76" s="28"/>
    </row>
    <row r="77" spans="2:12" ht="16.2" thickBot="1" x14ac:dyDescent="0.35">
      <c r="B77" s="33"/>
      <c r="C77" s="34"/>
      <c r="D77" s="26"/>
      <c r="E77" s="24" t="s">
        <v>66</v>
      </c>
      <c r="F77" s="35"/>
      <c r="G77" s="24" t="s">
        <v>67</v>
      </c>
      <c r="H77" s="35"/>
      <c r="I77" s="24" t="s">
        <v>68</v>
      </c>
      <c r="J77" s="26"/>
      <c r="K77" s="29"/>
      <c r="L77" s="30"/>
    </row>
    <row r="78" spans="2:12" ht="16.2" thickBot="1" x14ac:dyDescent="0.35"/>
    <row r="79" spans="2:12" ht="16.2" thickBot="1" x14ac:dyDescent="0.35">
      <c r="B79" s="31" t="s">
        <v>83</v>
      </c>
      <c r="C79" s="32"/>
      <c r="D79" s="26" t="s">
        <v>65</v>
      </c>
      <c r="E79" s="23">
        <f>E76</f>
        <v>12000</v>
      </c>
      <c r="F79" s="35" t="s">
        <v>64</v>
      </c>
      <c r="G79" s="23">
        <f>G76</f>
        <v>12000</v>
      </c>
      <c r="H79" s="35" t="s">
        <v>64</v>
      </c>
      <c r="I79" s="23">
        <f>I76</f>
        <v>112000</v>
      </c>
      <c r="J79" s="26" t="s">
        <v>65</v>
      </c>
      <c r="K79" s="27">
        <f>E79/E80+G79/G80+I79/I80</f>
        <v>102443.71471544588</v>
      </c>
      <c r="L79" s="28"/>
    </row>
    <row r="80" spans="2:12" ht="16.2" thickBot="1" x14ac:dyDescent="0.35">
      <c r="B80" s="33"/>
      <c r="C80" s="34"/>
      <c r="D80" s="26"/>
      <c r="E80" s="24">
        <f>1.11^1</f>
        <v>1.1100000000000001</v>
      </c>
      <c r="F80" s="35"/>
      <c r="G80" s="24">
        <f>1.11^2</f>
        <v>1.2321000000000002</v>
      </c>
      <c r="H80" s="35"/>
      <c r="I80" s="74">
        <f>1.11^3</f>
        <v>1.3676310000000003</v>
      </c>
      <c r="J80" s="26"/>
      <c r="K80" s="29"/>
      <c r="L80" s="30"/>
    </row>
    <row r="89" spans="10:17" x14ac:dyDescent="0.3">
      <c r="J89" t="s">
        <v>107</v>
      </c>
    </row>
    <row r="90" spans="10:17" x14ac:dyDescent="0.3">
      <c r="J90" t="s">
        <v>108</v>
      </c>
    </row>
    <row r="91" spans="10:17" x14ac:dyDescent="0.3">
      <c r="J91" t="s">
        <v>109</v>
      </c>
    </row>
    <row r="92" spans="10:17" x14ac:dyDescent="0.3">
      <c r="J92" s="76" t="s">
        <v>110</v>
      </c>
      <c r="K92" s="76"/>
      <c r="L92" s="76"/>
      <c r="M92" s="76"/>
      <c r="N92" s="76"/>
      <c r="O92" s="76"/>
      <c r="P92" s="76"/>
      <c r="Q92" s="76"/>
    </row>
    <row r="93" spans="10:17" x14ac:dyDescent="0.3">
      <c r="J93" s="76"/>
      <c r="K93" s="76"/>
      <c r="L93" s="76"/>
      <c r="M93" s="76"/>
      <c r="N93" s="76"/>
      <c r="O93" s="76"/>
      <c r="P93" s="76"/>
      <c r="Q93" s="76"/>
    </row>
    <row r="95" spans="10:17" x14ac:dyDescent="0.3">
      <c r="J95" t="s">
        <v>111</v>
      </c>
    </row>
    <row r="97" spans="2:16" x14ac:dyDescent="0.3">
      <c r="J97" t="s">
        <v>112</v>
      </c>
    </row>
    <row r="100" spans="2:16" x14ac:dyDescent="0.3">
      <c r="J100" t="s">
        <v>114</v>
      </c>
      <c r="O100">
        <f>10000*0.06</f>
        <v>600</v>
      </c>
      <c r="P100" t="s">
        <v>115</v>
      </c>
    </row>
    <row r="104" spans="2:16" x14ac:dyDescent="0.3">
      <c r="B104" s="77" t="s">
        <v>52</v>
      </c>
      <c r="C104" s="77"/>
      <c r="D104" s="77"/>
      <c r="E104" s="77"/>
      <c r="F104" s="77"/>
      <c r="G104" s="77"/>
      <c r="H104" s="77"/>
    </row>
    <row r="105" spans="2:16" x14ac:dyDescent="0.3">
      <c r="B105" s="12"/>
      <c r="C105" s="6" t="s">
        <v>53</v>
      </c>
      <c r="D105" s="6" t="s">
        <v>54</v>
      </c>
      <c r="E105" s="6" t="s">
        <v>55</v>
      </c>
      <c r="F105" s="6" t="s">
        <v>56</v>
      </c>
      <c r="G105" s="6" t="s">
        <v>57</v>
      </c>
      <c r="H105" s="6" t="s">
        <v>113</v>
      </c>
    </row>
    <row r="106" spans="2:16" x14ac:dyDescent="0.3">
      <c r="B106" s="12" t="s">
        <v>58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10000</v>
      </c>
    </row>
    <row r="107" spans="2:16" x14ac:dyDescent="0.3">
      <c r="B107" s="14" t="s">
        <v>59</v>
      </c>
      <c r="C107" s="17">
        <v>600</v>
      </c>
      <c r="D107" s="18">
        <v>600</v>
      </c>
      <c r="E107" s="18">
        <v>600</v>
      </c>
      <c r="F107" s="18">
        <v>600</v>
      </c>
      <c r="G107" s="18">
        <v>600</v>
      </c>
      <c r="H107" s="18">
        <v>600</v>
      </c>
    </row>
    <row r="108" spans="2:16" x14ac:dyDescent="0.3">
      <c r="B108" s="15" t="s">
        <v>60</v>
      </c>
      <c r="C108" s="73">
        <f>C106+C107</f>
        <v>600</v>
      </c>
      <c r="D108" s="16">
        <f t="shared" ref="D108:G108" si="2">D106+D107</f>
        <v>600</v>
      </c>
      <c r="E108" s="16">
        <f t="shared" si="2"/>
        <v>600</v>
      </c>
      <c r="F108" s="16">
        <f t="shared" si="2"/>
        <v>600</v>
      </c>
      <c r="G108" s="16">
        <f t="shared" si="2"/>
        <v>600</v>
      </c>
      <c r="H108" s="16">
        <f t="shared" ref="H108" si="3">H106+H107</f>
        <v>10600</v>
      </c>
    </row>
    <row r="109" spans="2:16" x14ac:dyDescent="0.3">
      <c r="C109" s="75" t="s">
        <v>74</v>
      </c>
      <c r="D109" s="75" t="s">
        <v>76</v>
      </c>
      <c r="E109" s="75" t="s">
        <v>78</v>
      </c>
      <c r="F109" s="75" t="s">
        <v>118</v>
      </c>
      <c r="G109" s="75" t="s">
        <v>119</v>
      </c>
      <c r="H109" s="75" t="s">
        <v>120</v>
      </c>
    </row>
    <row r="110" spans="2:16" x14ac:dyDescent="0.3">
      <c r="B110" t="s">
        <v>116</v>
      </c>
    </row>
    <row r="113" spans="2:16" x14ac:dyDescent="0.3">
      <c r="B113" t="s">
        <v>117</v>
      </c>
    </row>
    <row r="114" spans="2:16" ht="16.2" thickBot="1" x14ac:dyDescent="0.35">
      <c r="E114" s="25" t="s">
        <v>76</v>
      </c>
      <c r="F114" s="25"/>
      <c r="G114" s="25" t="s">
        <v>78</v>
      </c>
      <c r="H114" s="25"/>
      <c r="I114" s="25" t="s">
        <v>118</v>
      </c>
      <c r="J114" s="25"/>
      <c r="K114" s="25" t="s">
        <v>119</v>
      </c>
      <c r="L114" s="25"/>
      <c r="M114" s="25" t="s">
        <v>120</v>
      </c>
    </row>
    <row r="115" spans="2:16" ht="16.2" thickBot="1" x14ac:dyDescent="0.35">
      <c r="B115" s="40" t="s">
        <v>72</v>
      </c>
      <c r="C115" s="41"/>
      <c r="D115" s="26" t="s">
        <v>65</v>
      </c>
      <c r="E115" s="23">
        <v>600</v>
      </c>
      <c r="F115" s="35" t="s">
        <v>64</v>
      </c>
      <c r="G115" s="23">
        <v>600</v>
      </c>
      <c r="H115" s="35" t="s">
        <v>64</v>
      </c>
      <c r="I115" s="23">
        <v>600</v>
      </c>
      <c r="J115" s="35" t="s">
        <v>64</v>
      </c>
      <c r="K115" s="23">
        <v>600</v>
      </c>
      <c r="L115" s="35" t="s">
        <v>64</v>
      </c>
      <c r="M115" s="23">
        <v>10600</v>
      </c>
      <c r="N115" s="26" t="s">
        <v>65</v>
      </c>
      <c r="O115" s="27" t="s">
        <v>71</v>
      </c>
      <c r="P115" s="28"/>
    </row>
    <row r="116" spans="2:16" ht="16.2" thickBot="1" x14ac:dyDescent="0.35">
      <c r="B116" s="42"/>
      <c r="C116" s="43"/>
      <c r="D116" s="26"/>
      <c r="E116" s="74" t="s">
        <v>121</v>
      </c>
      <c r="F116" s="35"/>
      <c r="G116" s="74" t="s">
        <v>122</v>
      </c>
      <c r="H116" s="35"/>
      <c r="I116" s="74" t="s">
        <v>123</v>
      </c>
      <c r="J116" s="35"/>
      <c r="K116" s="74" t="s">
        <v>124</v>
      </c>
      <c r="L116" s="35"/>
      <c r="M116" s="74" t="s">
        <v>125</v>
      </c>
      <c r="N116" s="26"/>
      <c r="O116" s="29"/>
      <c r="P116" s="30"/>
    </row>
    <row r="117" spans="2:16" ht="16.2" thickBot="1" x14ac:dyDescent="0.35"/>
    <row r="118" spans="2:16" ht="16.2" thickBot="1" x14ac:dyDescent="0.35">
      <c r="B118" s="40" t="s">
        <v>73</v>
      </c>
      <c r="C118" s="41"/>
      <c r="D118" s="26" t="s">
        <v>65</v>
      </c>
      <c r="E118" s="19">
        <v>600</v>
      </c>
      <c r="F118" s="26" t="s">
        <v>64</v>
      </c>
      <c r="G118" s="19">
        <v>600</v>
      </c>
      <c r="H118" s="26" t="s">
        <v>64</v>
      </c>
      <c r="I118" s="19">
        <v>600</v>
      </c>
      <c r="J118" s="26" t="s">
        <v>64</v>
      </c>
      <c r="K118" s="19">
        <v>600</v>
      </c>
      <c r="L118" s="26" t="s">
        <v>64</v>
      </c>
      <c r="M118" s="19">
        <v>10600</v>
      </c>
      <c r="N118" s="26" t="s">
        <v>65</v>
      </c>
      <c r="O118" s="36">
        <f>E118/E119+G118/G119+I118/I119+K118/K119+M118/M119</f>
        <v>9201.4579925843809</v>
      </c>
      <c r="P118" s="37"/>
    </row>
    <row r="119" spans="2:16" ht="16.2" thickBot="1" x14ac:dyDescent="0.35">
      <c r="B119" s="42"/>
      <c r="C119" s="43"/>
      <c r="D119" s="26"/>
      <c r="E119" s="20">
        <f>1.08</f>
        <v>1.08</v>
      </c>
      <c r="F119" s="26"/>
      <c r="G119" s="20">
        <f>1.08^2</f>
        <v>1.1664000000000001</v>
      </c>
      <c r="H119" s="26"/>
      <c r="I119" s="20">
        <f>1.08^3</f>
        <v>1.2597120000000002</v>
      </c>
      <c r="J119" s="26"/>
      <c r="K119" s="20">
        <f>1.08^4</f>
        <v>1.3604889600000003</v>
      </c>
      <c r="L119" s="26"/>
      <c r="M119" s="20">
        <f>1.08^5</f>
        <v>1.4693280768000003</v>
      </c>
      <c r="N119" s="26"/>
      <c r="O119" s="38"/>
      <c r="P119" s="39"/>
    </row>
    <row r="122" spans="2:16" x14ac:dyDescent="0.3">
      <c r="B122" t="s">
        <v>126</v>
      </c>
    </row>
    <row r="132" spans="2:17" x14ac:dyDescent="0.3">
      <c r="J132" t="s">
        <v>107</v>
      </c>
    </row>
    <row r="133" spans="2:17" x14ac:dyDescent="0.3">
      <c r="J133" t="s">
        <v>127</v>
      </c>
    </row>
    <row r="134" spans="2:17" x14ac:dyDescent="0.3">
      <c r="J134" t="s">
        <v>128</v>
      </c>
    </row>
    <row r="135" spans="2:17" x14ac:dyDescent="0.3">
      <c r="J135" t="s">
        <v>129</v>
      </c>
    </row>
    <row r="136" spans="2:17" x14ac:dyDescent="0.3">
      <c r="J136" t="s">
        <v>130</v>
      </c>
    </row>
    <row r="137" spans="2:17" x14ac:dyDescent="0.3">
      <c r="J137" t="s">
        <v>131</v>
      </c>
    </row>
    <row r="139" spans="2:17" x14ac:dyDescent="0.3">
      <c r="J139" t="s">
        <v>141</v>
      </c>
    </row>
    <row r="141" spans="2:17" x14ac:dyDescent="0.3">
      <c r="B141" s="77" t="s">
        <v>52</v>
      </c>
      <c r="C141" s="77"/>
      <c r="D141" s="77"/>
      <c r="E141" s="77"/>
      <c r="F141" s="77"/>
      <c r="G141" s="77"/>
      <c r="H141" s="77"/>
    </row>
    <row r="142" spans="2:17" x14ac:dyDescent="0.3">
      <c r="B142" s="12"/>
      <c r="C142" s="6" t="s">
        <v>53</v>
      </c>
      <c r="D142" s="6" t="s">
        <v>54</v>
      </c>
      <c r="E142" s="6" t="s">
        <v>55</v>
      </c>
      <c r="F142" s="6" t="s">
        <v>56</v>
      </c>
      <c r="G142" s="6" t="s">
        <v>57</v>
      </c>
      <c r="H142" s="6" t="s">
        <v>113</v>
      </c>
      <c r="I142" s="6" t="s">
        <v>132</v>
      </c>
      <c r="J142" s="6" t="s">
        <v>133</v>
      </c>
      <c r="K142" s="6" t="s">
        <v>134</v>
      </c>
      <c r="L142" s="6" t="s">
        <v>135</v>
      </c>
      <c r="M142" s="6" t="s">
        <v>136</v>
      </c>
      <c r="N142" s="6" t="s">
        <v>137</v>
      </c>
      <c r="O142" s="6" t="s">
        <v>138</v>
      </c>
      <c r="P142" s="6" t="s">
        <v>139</v>
      </c>
      <c r="Q142" s="6" t="s">
        <v>140</v>
      </c>
    </row>
    <row r="143" spans="2:17" x14ac:dyDescent="0.3">
      <c r="B143" s="12" t="s">
        <v>58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10000</v>
      </c>
    </row>
    <row r="144" spans="2:17" x14ac:dyDescent="0.3">
      <c r="B144" s="14" t="s">
        <v>59</v>
      </c>
      <c r="C144" s="17">
        <v>1100</v>
      </c>
      <c r="D144" s="17">
        <v>1100</v>
      </c>
      <c r="E144" s="17">
        <v>1100</v>
      </c>
      <c r="F144" s="17">
        <v>1100</v>
      </c>
      <c r="G144" s="17">
        <v>1100</v>
      </c>
      <c r="H144" s="17">
        <v>1100</v>
      </c>
      <c r="I144" s="17">
        <v>1100</v>
      </c>
      <c r="J144" s="17">
        <v>1100</v>
      </c>
      <c r="K144" s="17">
        <v>1100</v>
      </c>
      <c r="L144" s="17">
        <v>1100</v>
      </c>
      <c r="M144" s="17">
        <v>1100</v>
      </c>
      <c r="N144" s="17">
        <v>1100</v>
      </c>
      <c r="O144" s="17">
        <v>1100</v>
      </c>
      <c r="P144" s="17">
        <v>1100</v>
      </c>
      <c r="Q144" s="17">
        <v>1100</v>
      </c>
    </row>
    <row r="145" spans="2:17" x14ac:dyDescent="0.3">
      <c r="B145" s="15" t="s">
        <v>60</v>
      </c>
      <c r="C145" s="73">
        <f>C143+C144</f>
        <v>1100</v>
      </c>
      <c r="D145" s="73">
        <f t="shared" ref="D145:H145" si="4">D143+D144</f>
        <v>1100</v>
      </c>
      <c r="E145" s="73">
        <f t="shared" si="4"/>
        <v>1100</v>
      </c>
      <c r="F145" s="73">
        <f t="shared" si="4"/>
        <v>1100</v>
      </c>
      <c r="G145" s="16">
        <f t="shared" si="4"/>
        <v>1100</v>
      </c>
      <c r="H145" s="16">
        <f t="shared" si="4"/>
        <v>1100</v>
      </c>
      <c r="I145" s="16">
        <f t="shared" ref="I145:Q145" si="5">I143+I144</f>
        <v>1100</v>
      </c>
      <c r="J145" s="16">
        <f t="shared" si="5"/>
        <v>1100</v>
      </c>
      <c r="K145" s="16">
        <f t="shared" si="5"/>
        <v>1100</v>
      </c>
      <c r="L145" s="16">
        <f t="shared" si="5"/>
        <v>1100</v>
      </c>
      <c r="M145" s="16">
        <f t="shared" si="5"/>
        <v>1100</v>
      </c>
      <c r="N145" s="16">
        <f t="shared" si="5"/>
        <v>1100</v>
      </c>
      <c r="O145" s="16">
        <f t="shared" si="5"/>
        <v>1100</v>
      </c>
      <c r="P145" s="16">
        <f t="shared" si="5"/>
        <v>1100</v>
      </c>
      <c r="Q145" s="16">
        <f t="shared" si="5"/>
        <v>11100</v>
      </c>
    </row>
    <row r="147" spans="2:17" x14ac:dyDescent="0.3">
      <c r="B147" t="s">
        <v>142</v>
      </c>
    </row>
    <row r="149" spans="2:17" x14ac:dyDescent="0.3">
      <c r="B149" t="s">
        <v>143</v>
      </c>
    </row>
    <row r="151" spans="2:17" x14ac:dyDescent="0.3">
      <c r="B151" t="s">
        <v>144</v>
      </c>
    </row>
    <row r="152" spans="2:17" x14ac:dyDescent="0.3">
      <c r="B152" t="s">
        <v>145</v>
      </c>
    </row>
    <row r="153" spans="2:17" x14ac:dyDescent="0.3">
      <c r="B153" t="s">
        <v>146</v>
      </c>
    </row>
    <row r="154" spans="2:17" x14ac:dyDescent="0.3">
      <c r="B154" t="s">
        <v>147</v>
      </c>
    </row>
    <row r="155" spans="2:17" x14ac:dyDescent="0.3">
      <c r="B155" t="s">
        <v>148</v>
      </c>
    </row>
    <row r="157" spans="2:17" x14ac:dyDescent="0.3">
      <c r="B157" t="s">
        <v>149</v>
      </c>
    </row>
    <row r="158" spans="2:17" x14ac:dyDescent="0.3">
      <c r="B158" t="s">
        <v>150</v>
      </c>
    </row>
    <row r="159" spans="2:17" x14ac:dyDescent="0.3">
      <c r="B159" t="s">
        <v>151</v>
      </c>
      <c r="M159" s="79">
        <f>(1/0.09)-(1/(0.09*1.09^10))</f>
        <v>6.4176577011590119</v>
      </c>
    </row>
    <row r="160" spans="2:17" x14ac:dyDescent="0.3">
      <c r="B160" t="s">
        <v>152</v>
      </c>
      <c r="F160" s="4">
        <f>1100*6.418</f>
        <v>7059.8</v>
      </c>
    </row>
    <row r="161" spans="2:9" x14ac:dyDescent="0.3">
      <c r="B161" t="s">
        <v>153</v>
      </c>
      <c r="F161" s="78">
        <f>11100/1.09^11</f>
        <v>4301.6146390294925</v>
      </c>
    </row>
    <row r="162" spans="2:9" x14ac:dyDescent="0.3">
      <c r="B162" t="s">
        <v>154</v>
      </c>
      <c r="I162" s="78">
        <f>F160+F161</f>
        <v>11361.414639029492</v>
      </c>
    </row>
  </sheetData>
  <mergeCells count="61">
    <mergeCell ref="L118:L119"/>
    <mergeCell ref="N118:N119"/>
    <mergeCell ref="O118:P119"/>
    <mergeCell ref="B141:H141"/>
    <mergeCell ref="B118:C119"/>
    <mergeCell ref="D118:D119"/>
    <mergeCell ref="F118:F119"/>
    <mergeCell ref="H118:H119"/>
    <mergeCell ref="J118:J119"/>
    <mergeCell ref="H48:H49"/>
    <mergeCell ref="J92:Q93"/>
    <mergeCell ref="B104:H104"/>
    <mergeCell ref="B115:C116"/>
    <mergeCell ref="D115:D116"/>
    <mergeCell ref="F115:F116"/>
    <mergeCell ref="H115:H116"/>
    <mergeCell ref="J115:J116"/>
    <mergeCell ref="L115:L116"/>
    <mergeCell ref="N115:N116"/>
    <mergeCell ref="O115:P116"/>
    <mergeCell ref="B10:E11"/>
    <mergeCell ref="B21:G21"/>
    <mergeCell ref="B28:E29"/>
    <mergeCell ref="B48:C49"/>
    <mergeCell ref="F48:F49"/>
    <mergeCell ref="B43:C44"/>
    <mergeCell ref="D43:D44"/>
    <mergeCell ref="F43:F44"/>
    <mergeCell ref="H43:H44"/>
    <mergeCell ref="J43:J44"/>
    <mergeCell ref="J76:J77"/>
    <mergeCell ref="K76:L77"/>
    <mergeCell ref="O51:P52"/>
    <mergeCell ref="D48:D49"/>
    <mergeCell ref="D51:D52"/>
    <mergeCell ref="J48:J49"/>
    <mergeCell ref="L48:L49"/>
    <mergeCell ref="N48:N49"/>
    <mergeCell ref="O48:P49"/>
    <mergeCell ref="B51:C52"/>
    <mergeCell ref="F51:F52"/>
    <mergeCell ref="H51:H52"/>
    <mergeCell ref="J51:J52"/>
    <mergeCell ref="L51:L52"/>
    <mergeCell ref="N51:N52"/>
    <mergeCell ref="J79:J80"/>
    <mergeCell ref="K79:L80"/>
    <mergeCell ref="D72:D73"/>
    <mergeCell ref="D76:D77"/>
    <mergeCell ref="B79:C80"/>
    <mergeCell ref="D79:D80"/>
    <mergeCell ref="F79:F80"/>
    <mergeCell ref="H79:H80"/>
    <mergeCell ref="B72:C73"/>
    <mergeCell ref="F72:F73"/>
    <mergeCell ref="H72:H73"/>
    <mergeCell ref="J72:J73"/>
    <mergeCell ref="K72:L73"/>
    <mergeCell ref="B76:C77"/>
    <mergeCell ref="F76:F77"/>
    <mergeCell ref="H76:H77"/>
  </mergeCells>
  <phoneticPr fontId="1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72CE-972E-4178-B202-573D4064AF59}">
  <dimension ref="B3:V216"/>
  <sheetViews>
    <sheetView topLeftCell="A199" workbookViewId="0">
      <selection activeCell="R219" sqref="R219"/>
    </sheetView>
  </sheetViews>
  <sheetFormatPr defaultRowHeight="15.6" x14ac:dyDescent="0.3"/>
  <sheetData>
    <row r="3" spans="2:6" x14ac:dyDescent="0.3">
      <c r="B3" t="s">
        <v>2</v>
      </c>
    </row>
    <row r="5" spans="2:6" x14ac:dyDescent="0.3">
      <c r="B5" t="s">
        <v>3</v>
      </c>
    </row>
    <row r="6" spans="2:6" x14ac:dyDescent="0.3">
      <c r="B6" t="s">
        <v>4</v>
      </c>
    </row>
    <row r="8" spans="2:6" x14ac:dyDescent="0.3">
      <c r="B8" t="s">
        <v>5</v>
      </c>
    </row>
    <row r="10" spans="2:6" x14ac:dyDescent="0.3">
      <c r="B10" t="s">
        <v>6</v>
      </c>
    </row>
    <row r="12" spans="2:6" x14ac:dyDescent="0.3">
      <c r="B12" t="s">
        <v>184</v>
      </c>
    </row>
    <row r="13" spans="2:6" x14ac:dyDescent="0.3">
      <c r="F13" s="3" t="s">
        <v>7</v>
      </c>
    </row>
    <row r="14" spans="2:6" x14ac:dyDescent="0.3">
      <c r="B14" t="s">
        <v>8</v>
      </c>
    </row>
    <row r="16" spans="2:6" x14ac:dyDescent="0.3">
      <c r="B16" t="s">
        <v>9</v>
      </c>
    </row>
    <row r="17" spans="2:4" x14ac:dyDescent="0.3">
      <c r="B17" t="s">
        <v>10</v>
      </c>
    </row>
    <row r="18" spans="2:4" x14ac:dyDescent="0.3">
      <c r="B18" s="4" t="s">
        <v>11</v>
      </c>
      <c r="D18" t="s">
        <v>12</v>
      </c>
    </row>
    <row r="20" spans="2:4" x14ac:dyDescent="0.3">
      <c r="B20" t="s">
        <v>185</v>
      </c>
    </row>
    <row r="21" spans="2:4" x14ac:dyDescent="0.3">
      <c r="C21" t="s">
        <v>13</v>
      </c>
    </row>
    <row r="22" spans="2:4" x14ac:dyDescent="0.3">
      <c r="C22" t="s">
        <v>14</v>
      </c>
    </row>
    <row r="23" spans="2:4" x14ac:dyDescent="0.3">
      <c r="C23" t="s">
        <v>15</v>
      </c>
    </row>
    <row r="26" spans="2:4" x14ac:dyDescent="0.3">
      <c r="B26" s="4" t="s">
        <v>16</v>
      </c>
    </row>
    <row r="28" spans="2:4" x14ac:dyDescent="0.3">
      <c r="B28" t="s">
        <v>17</v>
      </c>
    </row>
    <row r="29" spans="2:4" x14ac:dyDescent="0.3">
      <c r="B29" t="s">
        <v>18</v>
      </c>
    </row>
    <row r="30" spans="2:4" x14ac:dyDescent="0.3">
      <c r="B30" t="s">
        <v>19</v>
      </c>
    </row>
    <row r="32" spans="2:4" x14ac:dyDescent="0.3">
      <c r="B32" t="s">
        <v>20</v>
      </c>
    </row>
    <row r="33" spans="2:11" x14ac:dyDescent="0.3">
      <c r="B33" s="4" t="s">
        <v>21</v>
      </c>
    </row>
    <row r="34" spans="2:11" x14ac:dyDescent="0.3">
      <c r="B34" s="4" t="s">
        <v>22</v>
      </c>
    </row>
    <row r="35" spans="2:11" ht="16.2" x14ac:dyDescent="0.35">
      <c r="B35" s="5" t="s">
        <v>186</v>
      </c>
    </row>
    <row r="38" spans="2:11" x14ac:dyDescent="0.3">
      <c r="B38" t="s">
        <v>187</v>
      </c>
    </row>
    <row r="42" spans="2:11" x14ac:dyDescent="0.3">
      <c r="B42" s="4" t="s">
        <v>1</v>
      </c>
      <c r="C42" s="4"/>
      <c r="D42" s="4"/>
      <c r="E42" s="4"/>
      <c r="F42" s="4"/>
      <c r="G42" s="4"/>
      <c r="H42" s="4"/>
      <c r="I42" s="4"/>
      <c r="J42" s="4"/>
      <c r="K42" s="4"/>
    </row>
    <row r="44" spans="2:11" x14ac:dyDescent="0.3">
      <c r="B44" s="2" t="s">
        <v>0</v>
      </c>
    </row>
    <row r="46" spans="2:11" x14ac:dyDescent="0.3">
      <c r="B46" t="s">
        <v>23</v>
      </c>
    </row>
    <row r="47" spans="2:11" x14ac:dyDescent="0.3">
      <c r="B47" s="2" t="s">
        <v>24</v>
      </c>
    </row>
    <row r="48" spans="2:11" x14ac:dyDescent="0.3">
      <c r="B48" s="2" t="s">
        <v>25</v>
      </c>
    </row>
    <row r="50" spans="2:14" x14ac:dyDescent="0.3">
      <c r="B50" t="s">
        <v>188</v>
      </c>
    </row>
    <row r="51" spans="2:14" x14ac:dyDescent="0.3">
      <c r="B51" t="s">
        <v>189</v>
      </c>
    </row>
    <row r="52" spans="2:14" x14ac:dyDescent="0.3">
      <c r="B52" t="s">
        <v>190</v>
      </c>
    </row>
    <row r="53" spans="2:14" x14ac:dyDescent="0.3">
      <c r="B53" t="s">
        <v>191</v>
      </c>
    </row>
    <row r="55" spans="2:14" x14ac:dyDescent="0.3">
      <c r="B55" t="s">
        <v>192</v>
      </c>
      <c r="C55" t="s">
        <v>193</v>
      </c>
    </row>
    <row r="56" spans="2:14" x14ac:dyDescent="0.3">
      <c r="C56" t="s">
        <v>194</v>
      </c>
    </row>
    <row r="57" spans="2:14" x14ac:dyDescent="0.3">
      <c r="C57" t="s">
        <v>195</v>
      </c>
    </row>
    <row r="59" spans="2:14" x14ac:dyDescent="0.3">
      <c r="C59" t="s">
        <v>196</v>
      </c>
    </row>
    <row r="61" spans="2:14" x14ac:dyDescent="0.3">
      <c r="C61" t="s">
        <v>220</v>
      </c>
      <c r="N61" s="83">
        <f>20%*40%</f>
        <v>8.0000000000000016E-2</v>
      </c>
    </row>
    <row r="62" spans="2:14" x14ac:dyDescent="0.3">
      <c r="D62" t="s">
        <v>204</v>
      </c>
    </row>
    <row r="64" spans="2:14" x14ac:dyDescent="0.3">
      <c r="C64" t="s">
        <v>197</v>
      </c>
    </row>
    <row r="66" spans="2:3" x14ac:dyDescent="0.3">
      <c r="B66" s="2" t="s">
        <v>25</v>
      </c>
    </row>
    <row r="68" spans="2:3" x14ac:dyDescent="0.3">
      <c r="C68" t="s">
        <v>198</v>
      </c>
    </row>
    <row r="69" spans="2:3" x14ac:dyDescent="0.3">
      <c r="C69" t="s">
        <v>199</v>
      </c>
    </row>
    <row r="71" spans="2:3" x14ac:dyDescent="0.3">
      <c r="C71" t="s">
        <v>200</v>
      </c>
    </row>
    <row r="72" spans="2:3" x14ac:dyDescent="0.3">
      <c r="C72" t="s">
        <v>201</v>
      </c>
    </row>
    <row r="73" spans="2:3" x14ac:dyDescent="0.3">
      <c r="C73" t="s">
        <v>189</v>
      </c>
    </row>
    <row r="75" spans="2:3" x14ac:dyDescent="0.3">
      <c r="C75" t="s">
        <v>202</v>
      </c>
    </row>
    <row r="77" spans="2:3" x14ac:dyDescent="0.3">
      <c r="C77" t="s">
        <v>203</v>
      </c>
    </row>
    <row r="79" spans="2:3" x14ac:dyDescent="0.3">
      <c r="C79" t="s">
        <v>207</v>
      </c>
    </row>
    <row r="80" spans="2:3" x14ac:dyDescent="0.3">
      <c r="C80" t="s">
        <v>205</v>
      </c>
    </row>
    <row r="81" spans="2:9" x14ac:dyDescent="0.3">
      <c r="C81" t="s">
        <v>206</v>
      </c>
      <c r="F81" s="4">
        <f>216*0.6</f>
        <v>129.6</v>
      </c>
    </row>
    <row r="88" spans="2:9" x14ac:dyDescent="0.3">
      <c r="B88" s="7" t="s">
        <v>208</v>
      </c>
      <c r="C88" s="8"/>
      <c r="D88" s="8"/>
      <c r="E88" s="8"/>
      <c r="F88" s="8"/>
      <c r="I88" t="s">
        <v>209</v>
      </c>
    </row>
    <row r="99" spans="2:18" x14ac:dyDescent="0.3">
      <c r="B99" t="s">
        <v>210</v>
      </c>
    </row>
    <row r="101" spans="2:18" x14ac:dyDescent="0.3">
      <c r="B101" s="84" t="s">
        <v>211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6"/>
    </row>
    <row r="102" spans="2:18" x14ac:dyDescent="0.3">
      <c r="B102" s="87"/>
      <c r="C102" s="88" t="s">
        <v>212</v>
      </c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9"/>
    </row>
    <row r="103" spans="2:18" x14ac:dyDescent="0.3">
      <c r="B103" s="87"/>
      <c r="C103" s="88" t="s">
        <v>213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9"/>
    </row>
    <row r="104" spans="2:18" x14ac:dyDescent="0.3">
      <c r="B104" s="87"/>
      <c r="C104" s="88" t="s">
        <v>214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9"/>
    </row>
    <row r="105" spans="2:18" x14ac:dyDescent="0.3">
      <c r="B105" s="87"/>
      <c r="C105" s="88" t="s">
        <v>215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9"/>
    </row>
    <row r="106" spans="2:18" x14ac:dyDescent="0.3">
      <c r="B106" s="87"/>
      <c r="C106" s="88" t="s">
        <v>216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9"/>
    </row>
    <row r="107" spans="2:18" x14ac:dyDescent="0.3">
      <c r="B107" s="90"/>
      <c r="C107" s="91" t="s">
        <v>217</v>
      </c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2"/>
    </row>
    <row r="108" spans="2:18" x14ac:dyDescent="0.3">
      <c r="B108" s="87" t="s">
        <v>218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9"/>
    </row>
    <row r="109" spans="2:18" x14ac:dyDescent="0.3">
      <c r="B109" s="87"/>
      <c r="C109" s="88" t="s">
        <v>212</v>
      </c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9"/>
    </row>
    <row r="110" spans="2:18" x14ac:dyDescent="0.3">
      <c r="B110" s="87"/>
      <c r="C110" s="88" t="s">
        <v>219</v>
      </c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9"/>
    </row>
    <row r="111" spans="2:18" x14ac:dyDescent="0.3">
      <c r="B111" s="90"/>
      <c r="C111" s="91" t="s">
        <v>221</v>
      </c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2"/>
    </row>
    <row r="112" spans="2:18" x14ac:dyDescent="0.3">
      <c r="B112" t="s">
        <v>222</v>
      </c>
    </row>
    <row r="113" spans="2:20" x14ac:dyDescent="0.3">
      <c r="C113" t="s">
        <v>223</v>
      </c>
    </row>
    <row r="114" spans="2:20" x14ac:dyDescent="0.3">
      <c r="C114" t="s">
        <v>224</v>
      </c>
    </row>
    <row r="115" spans="2:20" x14ac:dyDescent="0.3">
      <c r="C115" t="s">
        <v>225</v>
      </c>
    </row>
    <row r="116" spans="2:20" x14ac:dyDescent="0.3">
      <c r="C116" s="4" t="s">
        <v>226</v>
      </c>
    </row>
    <row r="117" spans="2:20" x14ac:dyDescent="0.3">
      <c r="B117" t="s">
        <v>227</v>
      </c>
    </row>
    <row r="118" spans="2:20" x14ac:dyDescent="0.3">
      <c r="C118" t="s">
        <v>228</v>
      </c>
    </row>
    <row r="119" spans="2:20" x14ac:dyDescent="0.3">
      <c r="C119" s="4" t="s">
        <v>229</v>
      </c>
    </row>
    <row r="125" spans="2:20" x14ac:dyDescent="0.3">
      <c r="L125" t="s">
        <v>230</v>
      </c>
    </row>
    <row r="126" spans="2:20" x14ac:dyDescent="0.3">
      <c r="L126" t="s">
        <v>231</v>
      </c>
    </row>
    <row r="127" spans="2:20" x14ac:dyDescent="0.3">
      <c r="L127" s="76" t="s">
        <v>232</v>
      </c>
      <c r="M127" s="76"/>
      <c r="N127" s="76"/>
      <c r="O127" s="76"/>
      <c r="P127" s="76"/>
      <c r="Q127" s="76"/>
      <c r="R127" s="76"/>
      <c r="S127" s="76"/>
      <c r="T127" s="76"/>
    </row>
    <row r="128" spans="2:20" x14ac:dyDescent="0.3">
      <c r="L128" s="76"/>
      <c r="M128" s="76"/>
      <c r="N128" s="76"/>
      <c r="O128" s="76"/>
      <c r="P128" s="76"/>
      <c r="Q128" s="76"/>
      <c r="R128" s="76"/>
      <c r="S128" s="76"/>
      <c r="T128" s="76"/>
    </row>
    <row r="129" spans="12:22" x14ac:dyDescent="0.3">
      <c r="L129" t="s">
        <v>233</v>
      </c>
    </row>
    <row r="131" spans="12:22" x14ac:dyDescent="0.3">
      <c r="L131" t="s">
        <v>234</v>
      </c>
    </row>
    <row r="132" spans="12:22" x14ac:dyDescent="0.3">
      <c r="L132" t="s">
        <v>235</v>
      </c>
    </row>
    <row r="133" spans="12:22" x14ac:dyDescent="0.3">
      <c r="L133" t="s">
        <v>236</v>
      </c>
    </row>
    <row r="134" spans="12:22" x14ac:dyDescent="0.3">
      <c r="L134" t="s">
        <v>237</v>
      </c>
    </row>
    <row r="135" spans="12:22" x14ac:dyDescent="0.3">
      <c r="L135" s="4" t="s">
        <v>238</v>
      </c>
    </row>
    <row r="137" spans="12:22" x14ac:dyDescent="0.3">
      <c r="L137" t="s">
        <v>239</v>
      </c>
    </row>
    <row r="138" spans="12:22" x14ac:dyDescent="0.3">
      <c r="L138" t="s">
        <v>240</v>
      </c>
    </row>
    <row r="139" spans="12:22" x14ac:dyDescent="0.3">
      <c r="L139" t="s">
        <v>241</v>
      </c>
      <c r="R139">
        <f>60000*0.13</f>
        <v>7800</v>
      </c>
      <c r="S139" t="s">
        <v>242</v>
      </c>
    </row>
    <row r="140" spans="12:22" x14ac:dyDescent="0.3">
      <c r="L140" t="s">
        <v>243</v>
      </c>
      <c r="U140" s="75">
        <f>7800/15</f>
        <v>520</v>
      </c>
      <c r="V140" t="s">
        <v>244</v>
      </c>
    </row>
    <row r="141" spans="12:22" x14ac:dyDescent="0.3">
      <c r="L141" t="s">
        <v>245</v>
      </c>
    </row>
    <row r="142" spans="12:22" x14ac:dyDescent="0.3">
      <c r="L142" s="80" t="s">
        <v>246</v>
      </c>
      <c r="M142" s="80"/>
      <c r="N142" s="80">
        <f>520/0.135</f>
        <v>3851.8518518518517</v>
      </c>
    </row>
    <row r="145" spans="12:21" x14ac:dyDescent="0.3">
      <c r="L145" t="s">
        <v>247</v>
      </c>
    </row>
    <row r="146" spans="12:21" x14ac:dyDescent="0.3">
      <c r="L146" t="s">
        <v>248</v>
      </c>
    </row>
    <row r="147" spans="12:21" x14ac:dyDescent="0.3">
      <c r="L147" t="s">
        <v>249</v>
      </c>
    </row>
    <row r="148" spans="12:21" x14ac:dyDescent="0.3">
      <c r="L148" t="s">
        <v>250</v>
      </c>
    </row>
    <row r="149" spans="12:21" x14ac:dyDescent="0.3">
      <c r="L149" t="s">
        <v>236</v>
      </c>
    </row>
    <row r="150" spans="12:21" x14ac:dyDescent="0.3">
      <c r="L150" s="9" t="s">
        <v>251</v>
      </c>
      <c r="M150" s="9"/>
      <c r="N150" s="1">
        <f>0.13*0.75</f>
        <v>9.7500000000000003E-2</v>
      </c>
    </row>
    <row r="151" spans="12:21" x14ac:dyDescent="0.3">
      <c r="L151" s="9" t="s">
        <v>253</v>
      </c>
    </row>
    <row r="152" spans="12:21" x14ac:dyDescent="0.3">
      <c r="L152" s="4" t="s">
        <v>252</v>
      </c>
    </row>
    <row r="153" spans="12:21" x14ac:dyDescent="0.3">
      <c r="L153" s="9" t="s">
        <v>254</v>
      </c>
    </row>
    <row r="154" spans="12:21" x14ac:dyDescent="0.3">
      <c r="L154" s="9" t="s">
        <v>255</v>
      </c>
    </row>
    <row r="156" spans="12:21" x14ac:dyDescent="0.3">
      <c r="L156" t="s">
        <v>256</v>
      </c>
    </row>
    <row r="157" spans="12:21" x14ac:dyDescent="0.3">
      <c r="L157" t="s">
        <v>257</v>
      </c>
    </row>
    <row r="158" spans="12:21" x14ac:dyDescent="0.3">
      <c r="L158" t="s">
        <v>258</v>
      </c>
    </row>
    <row r="159" spans="12:21" x14ac:dyDescent="0.3">
      <c r="L159" t="s">
        <v>259</v>
      </c>
      <c r="U159" s="93">
        <f>520*1.0975</f>
        <v>570.69999999999993</v>
      </c>
    </row>
    <row r="160" spans="12:21" x14ac:dyDescent="0.3">
      <c r="L160" t="s">
        <v>260</v>
      </c>
      <c r="P160" s="4">
        <f>U159*0.25</f>
        <v>142.67499999999998</v>
      </c>
    </row>
    <row r="161" spans="12:16" x14ac:dyDescent="0.3">
      <c r="L161" s="80" t="s">
        <v>261</v>
      </c>
      <c r="P161" s="80">
        <f>P160/(0.135-0.0975)</f>
        <v>3804.6666666666656</v>
      </c>
    </row>
    <row r="165" spans="12:16" x14ac:dyDescent="0.3">
      <c r="L165" t="s">
        <v>262</v>
      </c>
    </row>
    <row r="167" spans="12:16" x14ac:dyDescent="0.3">
      <c r="L167" t="s">
        <v>263</v>
      </c>
    </row>
    <row r="168" spans="12:16" x14ac:dyDescent="0.3">
      <c r="L168" t="s">
        <v>264</v>
      </c>
    </row>
    <row r="169" spans="12:16" x14ac:dyDescent="0.3">
      <c r="L169" s="4" t="s">
        <v>265</v>
      </c>
    </row>
    <row r="171" spans="12:16" x14ac:dyDescent="0.3">
      <c r="L171" t="s">
        <v>266</v>
      </c>
    </row>
    <row r="172" spans="12:16" x14ac:dyDescent="0.3">
      <c r="M172" s="4" t="s">
        <v>267</v>
      </c>
    </row>
    <row r="173" spans="12:16" x14ac:dyDescent="0.3">
      <c r="M173" s="4" t="s">
        <v>268</v>
      </c>
    </row>
    <row r="174" spans="12:16" x14ac:dyDescent="0.3">
      <c r="M174" t="s">
        <v>269</v>
      </c>
    </row>
    <row r="175" spans="12:16" x14ac:dyDescent="0.3">
      <c r="M175" t="s">
        <v>270</v>
      </c>
    </row>
    <row r="176" spans="12:16" x14ac:dyDescent="0.3">
      <c r="M176" t="s">
        <v>271</v>
      </c>
    </row>
    <row r="177" spans="12:20" x14ac:dyDescent="0.3">
      <c r="M177" t="s">
        <v>272</v>
      </c>
    </row>
    <row r="179" spans="12:20" x14ac:dyDescent="0.3">
      <c r="L179" t="s">
        <v>273</v>
      </c>
      <c r="P179" s="80">
        <f>3804.667-3851.852</f>
        <v>-47.184999999999945</v>
      </c>
      <c r="Q179" s="80" t="s">
        <v>274</v>
      </c>
      <c r="R179" s="80"/>
    </row>
    <row r="181" spans="12:20" x14ac:dyDescent="0.3">
      <c r="L181" t="s">
        <v>275</v>
      </c>
    </row>
    <row r="182" spans="12:20" x14ac:dyDescent="0.3">
      <c r="L182" s="76" t="s">
        <v>276</v>
      </c>
      <c r="M182" s="76"/>
      <c r="N182" s="76"/>
      <c r="O182" s="76"/>
      <c r="P182" s="76"/>
      <c r="Q182" s="76"/>
      <c r="R182" s="76"/>
      <c r="S182" s="76"/>
      <c r="T182" s="76"/>
    </row>
    <row r="183" spans="12:20" x14ac:dyDescent="0.3">
      <c r="L183" s="76"/>
      <c r="M183" s="76"/>
      <c r="N183" s="76"/>
      <c r="O183" s="76"/>
      <c r="P183" s="76"/>
      <c r="Q183" s="76"/>
      <c r="R183" s="76"/>
      <c r="S183" s="76"/>
      <c r="T183" s="76"/>
    </row>
    <row r="184" spans="12:20" x14ac:dyDescent="0.3">
      <c r="L184" s="76" t="s">
        <v>277</v>
      </c>
      <c r="M184" s="76"/>
      <c r="N184" s="76"/>
      <c r="O184" s="76"/>
      <c r="P184" s="76"/>
      <c r="Q184" s="76"/>
      <c r="R184" s="76"/>
      <c r="S184" s="76"/>
      <c r="T184" s="76"/>
    </row>
    <row r="185" spans="12:20" x14ac:dyDescent="0.3">
      <c r="L185" s="76"/>
      <c r="M185" s="76"/>
      <c r="N185" s="76"/>
      <c r="O185" s="76"/>
      <c r="P185" s="76"/>
      <c r="Q185" s="76"/>
      <c r="R185" s="76"/>
      <c r="S185" s="76"/>
      <c r="T185" s="76"/>
    </row>
    <row r="187" spans="12:20" x14ac:dyDescent="0.3">
      <c r="L187" t="s">
        <v>278</v>
      </c>
    </row>
    <row r="189" spans="12:20" x14ac:dyDescent="0.3">
      <c r="L189" t="s">
        <v>279</v>
      </c>
    </row>
    <row r="190" spans="12:20" x14ac:dyDescent="0.3">
      <c r="L190" t="s">
        <v>280</v>
      </c>
    </row>
    <row r="191" spans="12:20" x14ac:dyDescent="0.3">
      <c r="L191" t="s">
        <v>281</v>
      </c>
    </row>
    <row r="202" spans="12:12" x14ac:dyDescent="0.3">
      <c r="L202" t="s">
        <v>282</v>
      </c>
    </row>
    <row r="203" spans="12:12" x14ac:dyDescent="0.3">
      <c r="L203" t="s">
        <v>283</v>
      </c>
    </row>
    <row r="205" spans="12:12" x14ac:dyDescent="0.3">
      <c r="L205" t="s">
        <v>284</v>
      </c>
    </row>
    <row r="206" spans="12:12" x14ac:dyDescent="0.3">
      <c r="L206" t="s">
        <v>285</v>
      </c>
    </row>
    <row r="208" spans="12:12" x14ac:dyDescent="0.3">
      <c r="L208" t="s">
        <v>286</v>
      </c>
    </row>
    <row r="210" spans="12:18" x14ac:dyDescent="0.3">
      <c r="L210" t="s">
        <v>287</v>
      </c>
    </row>
    <row r="212" spans="12:18" x14ac:dyDescent="0.3">
      <c r="L212" t="s">
        <v>288</v>
      </c>
    </row>
    <row r="214" spans="12:18" x14ac:dyDescent="0.3">
      <c r="L214" t="s">
        <v>289</v>
      </c>
      <c r="Q214" s="1">
        <f>0.14*0.8</f>
        <v>0.11200000000000002</v>
      </c>
      <c r="R214" t="s">
        <v>290</v>
      </c>
    </row>
    <row r="216" spans="12:18" x14ac:dyDescent="0.3">
      <c r="L216" t="s">
        <v>291</v>
      </c>
      <c r="P216" s="80">
        <f>180/(0.15-0.112)</f>
        <v>4736.8421052631593</v>
      </c>
    </row>
  </sheetData>
  <mergeCells count="3">
    <mergeCell ref="L127:T128"/>
    <mergeCell ref="L182:T183"/>
    <mergeCell ref="L184:T18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D9EF-629B-456B-91B1-50B336FB6C35}">
  <dimension ref="D2:S66"/>
  <sheetViews>
    <sheetView topLeftCell="A49" workbookViewId="0">
      <selection activeCell="F69" sqref="F69"/>
    </sheetView>
  </sheetViews>
  <sheetFormatPr defaultRowHeight="15.6" x14ac:dyDescent="0.3"/>
  <cols>
    <col min="16" max="16" width="10.296875" bestFit="1" customWidth="1"/>
    <col min="17" max="17" width="13.796875" bestFit="1" customWidth="1"/>
  </cols>
  <sheetData>
    <row r="2" spans="4:5" x14ac:dyDescent="0.3">
      <c r="D2" t="s">
        <v>292</v>
      </c>
    </row>
    <row r="3" spans="4:5" x14ac:dyDescent="0.3">
      <c r="D3" t="s">
        <v>293</v>
      </c>
    </row>
    <row r="4" spans="4:5" x14ac:dyDescent="0.3">
      <c r="D4" t="s">
        <v>294</v>
      </c>
    </row>
    <row r="5" spans="4:5" x14ac:dyDescent="0.3">
      <c r="D5" t="s">
        <v>295</v>
      </c>
    </row>
    <row r="7" spans="4:5" x14ac:dyDescent="0.3">
      <c r="D7" t="s">
        <v>296</v>
      </c>
    </row>
    <row r="8" spans="4:5" x14ac:dyDescent="0.3">
      <c r="D8" t="s">
        <v>297</v>
      </c>
    </row>
    <row r="9" spans="4:5" x14ac:dyDescent="0.3">
      <c r="D9" t="s">
        <v>298</v>
      </c>
    </row>
    <row r="10" spans="4:5" x14ac:dyDescent="0.3">
      <c r="E10" t="s">
        <v>299</v>
      </c>
    </row>
    <row r="11" spans="4:5" x14ac:dyDescent="0.3">
      <c r="E11" t="s">
        <v>150</v>
      </c>
    </row>
    <row r="13" spans="4:5" x14ac:dyDescent="0.3">
      <c r="E13" t="s">
        <v>300</v>
      </c>
    </row>
    <row r="18" spans="12:19" x14ac:dyDescent="0.3">
      <c r="L18" t="s">
        <v>301</v>
      </c>
    </row>
    <row r="19" spans="12:19" x14ac:dyDescent="0.3">
      <c r="L19" t="s">
        <v>302</v>
      </c>
    </row>
    <row r="20" spans="12:19" x14ac:dyDescent="0.3">
      <c r="L20" t="s">
        <v>303</v>
      </c>
    </row>
    <row r="21" spans="12:19" x14ac:dyDescent="0.3">
      <c r="L21" t="s">
        <v>304</v>
      </c>
    </row>
    <row r="23" spans="12:19" x14ac:dyDescent="0.3">
      <c r="L23" t="s">
        <v>305</v>
      </c>
    </row>
    <row r="25" spans="12:19" x14ac:dyDescent="0.3">
      <c r="L25" t="s">
        <v>306</v>
      </c>
    </row>
    <row r="26" spans="12:19" x14ac:dyDescent="0.3">
      <c r="L26" t="s">
        <v>307</v>
      </c>
    </row>
    <row r="27" spans="12:19" x14ac:dyDescent="0.3">
      <c r="L27" t="s">
        <v>308</v>
      </c>
    </row>
    <row r="28" spans="12:19" x14ac:dyDescent="0.3">
      <c r="L28" t="s">
        <v>309</v>
      </c>
      <c r="S28" s="20">
        <f>(1/0.14)-(1/(0.14*1.14^6))</f>
        <v>3.8886675165425078</v>
      </c>
    </row>
    <row r="29" spans="12:19" x14ac:dyDescent="0.3">
      <c r="L29" t="s">
        <v>310</v>
      </c>
      <c r="P29" s="94">
        <f>6000*S28</f>
        <v>23332.005099255046</v>
      </c>
    </row>
    <row r="30" spans="12:19" x14ac:dyDescent="0.3">
      <c r="L30" t="s">
        <v>311</v>
      </c>
    </row>
    <row r="32" spans="12:19" x14ac:dyDescent="0.3">
      <c r="L32" t="s">
        <v>312</v>
      </c>
    </row>
    <row r="34" spans="12:12" x14ac:dyDescent="0.3">
      <c r="L34" t="s">
        <v>313</v>
      </c>
    </row>
    <row r="35" spans="12:12" x14ac:dyDescent="0.3">
      <c r="L35" t="s">
        <v>314</v>
      </c>
    </row>
    <row r="38" spans="12:12" x14ac:dyDescent="0.3">
      <c r="L38" t="s">
        <v>315</v>
      </c>
    </row>
    <row r="40" spans="12:12" x14ac:dyDescent="0.3">
      <c r="L40" t="s">
        <v>316</v>
      </c>
    </row>
    <row r="41" spans="12:12" x14ac:dyDescent="0.3">
      <c r="L41" t="s">
        <v>317</v>
      </c>
    </row>
    <row r="42" spans="12:12" x14ac:dyDescent="0.3">
      <c r="L42" t="s">
        <v>318</v>
      </c>
    </row>
    <row r="43" spans="12:12" x14ac:dyDescent="0.3">
      <c r="L43" t="s">
        <v>319</v>
      </c>
    </row>
    <row r="44" spans="12:12" x14ac:dyDescent="0.3">
      <c r="L44" t="s">
        <v>320</v>
      </c>
    </row>
    <row r="45" spans="12:12" x14ac:dyDescent="0.3">
      <c r="L45" t="s">
        <v>321</v>
      </c>
    </row>
    <row r="46" spans="12:12" x14ac:dyDescent="0.3">
      <c r="L46" t="s">
        <v>322</v>
      </c>
    </row>
    <row r="47" spans="12:12" x14ac:dyDescent="0.3">
      <c r="L47" t="s">
        <v>323</v>
      </c>
    </row>
    <row r="49" spans="10:19" x14ac:dyDescent="0.3">
      <c r="L49" t="s">
        <v>324</v>
      </c>
    </row>
    <row r="51" spans="10:19" x14ac:dyDescent="0.3">
      <c r="L51" t="s">
        <v>325</v>
      </c>
    </row>
    <row r="52" spans="10:19" x14ac:dyDescent="0.3">
      <c r="L52" t="s">
        <v>326</v>
      </c>
    </row>
    <row r="54" spans="10:19" x14ac:dyDescent="0.3">
      <c r="L54" t="s">
        <v>327</v>
      </c>
    </row>
    <row r="55" spans="10:19" x14ac:dyDescent="0.3">
      <c r="L55" t="s">
        <v>328</v>
      </c>
    </row>
    <row r="56" spans="10:19" x14ac:dyDescent="0.3">
      <c r="L56" t="s">
        <v>329</v>
      </c>
      <c r="Q56" s="20">
        <f>(1/0.16)-(1/(0.16*1.16^6))</f>
        <v>3.6847359083286513</v>
      </c>
    </row>
    <row r="57" spans="10:19" x14ac:dyDescent="0.3">
      <c r="L57" t="s">
        <v>330</v>
      </c>
      <c r="Q57" s="20">
        <f>(1/0.2)-(1/(0.2*1.2^6))</f>
        <v>3.3255101165980792</v>
      </c>
    </row>
    <row r="58" spans="10:19" x14ac:dyDescent="0.3">
      <c r="L58" t="s">
        <v>331</v>
      </c>
      <c r="Q58" s="20">
        <f>(1/0.19)-(1/(0.19*1.19^6))</f>
        <v>3.4097772183502588</v>
      </c>
    </row>
    <row r="60" spans="10:19" x14ac:dyDescent="0.3">
      <c r="L60" t="s">
        <v>332</v>
      </c>
    </row>
    <row r="62" spans="10:19" x14ac:dyDescent="0.3">
      <c r="J62" s="76" t="s">
        <v>333</v>
      </c>
      <c r="K62" s="76"/>
      <c r="L62" s="76"/>
      <c r="M62" s="76"/>
      <c r="N62" s="76"/>
      <c r="O62" s="76"/>
      <c r="P62" s="76"/>
      <c r="Q62" s="76"/>
      <c r="R62" s="76"/>
      <c r="S62" s="76"/>
    </row>
    <row r="63" spans="10:19" x14ac:dyDescent="0.3">
      <c r="J63" s="76"/>
      <c r="K63" s="76"/>
      <c r="L63" s="76"/>
      <c r="M63" s="76"/>
      <c r="N63" s="76"/>
      <c r="O63" s="76"/>
      <c r="P63" s="76"/>
      <c r="Q63" s="76"/>
      <c r="R63" s="76"/>
      <c r="S63" s="76"/>
    </row>
    <row r="64" spans="10:19" x14ac:dyDescent="0.3">
      <c r="J64" t="s">
        <v>334</v>
      </c>
    </row>
    <row r="66" spans="10:10" x14ac:dyDescent="0.3">
      <c r="J66" t="s">
        <v>335</v>
      </c>
    </row>
  </sheetData>
  <mergeCells count="1">
    <mergeCell ref="J62:S6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76C4-5CC5-4FAE-8764-30B087CD5142}">
  <dimension ref="B2:T113"/>
  <sheetViews>
    <sheetView topLeftCell="A99" workbookViewId="0">
      <selection activeCell="Q114" sqref="Q114"/>
    </sheetView>
  </sheetViews>
  <sheetFormatPr defaultRowHeight="15.6" x14ac:dyDescent="0.3"/>
  <sheetData>
    <row r="2" spans="2:4" x14ac:dyDescent="0.3">
      <c r="B2" t="s">
        <v>86</v>
      </c>
    </row>
    <row r="4" spans="2:4" x14ac:dyDescent="0.3">
      <c r="B4" s="7" t="s">
        <v>38</v>
      </c>
      <c r="C4" s="8"/>
      <c r="D4" s="8"/>
    </row>
    <row r="5" spans="2:4" x14ac:dyDescent="0.3">
      <c r="B5" s="4"/>
    </row>
    <row r="6" spans="2:4" x14ac:dyDescent="0.3">
      <c r="B6" s="4" t="s">
        <v>87</v>
      </c>
    </row>
    <row r="7" spans="2:4" x14ac:dyDescent="0.3">
      <c r="B7" s="4" t="s">
        <v>88</v>
      </c>
    </row>
    <row r="8" spans="2:4" x14ac:dyDescent="0.3">
      <c r="B8" s="4" t="s">
        <v>89</v>
      </c>
    </row>
    <row r="9" spans="2:4" x14ac:dyDescent="0.3">
      <c r="B9" s="4" t="s">
        <v>90</v>
      </c>
    </row>
    <row r="10" spans="2:4" x14ac:dyDescent="0.3">
      <c r="B10" s="4" t="s">
        <v>91</v>
      </c>
    </row>
    <row r="14" spans="2:4" x14ac:dyDescent="0.3">
      <c r="B14" s="7" t="s">
        <v>39</v>
      </c>
      <c r="C14" s="8"/>
      <c r="D14" s="8"/>
    </row>
    <row r="32" spans="2:4" x14ac:dyDescent="0.3">
      <c r="B32" s="7" t="s">
        <v>40</v>
      </c>
      <c r="C32" s="7"/>
      <c r="D32" s="7"/>
    </row>
    <row r="36" spans="11:19" x14ac:dyDescent="0.3">
      <c r="K36" s="76" t="s">
        <v>336</v>
      </c>
      <c r="L36" s="76"/>
      <c r="M36" s="76"/>
      <c r="N36" s="76"/>
      <c r="O36" s="76"/>
      <c r="P36" s="76"/>
      <c r="Q36" s="76"/>
      <c r="R36" s="76"/>
      <c r="S36" s="76"/>
    </row>
    <row r="37" spans="11:19" x14ac:dyDescent="0.3">
      <c r="K37" s="76"/>
      <c r="L37" s="76"/>
      <c r="M37" s="76"/>
      <c r="N37" s="76"/>
      <c r="O37" s="76"/>
      <c r="P37" s="76"/>
      <c r="Q37" s="76"/>
      <c r="R37" s="76"/>
      <c r="S37" s="76"/>
    </row>
    <row r="39" spans="11:19" x14ac:dyDescent="0.3">
      <c r="K39" t="s">
        <v>337</v>
      </c>
    </row>
    <row r="40" spans="11:19" x14ac:dyDescent="0.3">
      <c r="K40" t="s">
        <v>340</v>
      </c>
    </row>
    <row r="41" spans="11:19" x14ac:dyDescent="0.3">
      <c r="K41" t="s">
        <v>338</v>
      </c>
    </row>
    <row r="43" spans="11:19" x14ac:dyDescent="0.3">
      <c r="K43" t="s">
        <v>339</v>
      </c>
    </row>
    <row r="45" spans="11:19" x14ac:dyDescent="0.3">
      <c r="K45" t="s">
        <v>341</v>
      </c>
    </row>
    <row r="47" spans="11:19" x14ac:dyDescent="0.3">
      <c r="K47" t="s">
        <v>342</v>
      </c>
    </row>
    <row r="48" spans="11:19" x14ac:dyDescent="0.3">
      <c r="K48" t="s">
        <v>343</v>
      </c>
    </row>
    <row r="50" spans="11:20" x14ac:dyDescent="0.3">
      <c r="K50" s="76" t="s">
        <v>344</v>
      </c>
      <c r="L50" s="76"/>
      <c r="M50" s="76"/>
      <c r="N50" s="76"/>
      <c r="O50" s="76"/>
      <c r="P50" s="76"/>
      <c r="Q50" s="76"/>
      <c r="R50" s="76"/>
      <c r="S50" s="76"/>
      <c r="T50" s="76"/>
    </row>
    <row r="51" spans="11:20" x14ac:dyDescent="0.3">
      <c r="K51" s="76"/>
      <c r="L51" s="76"/>
      <c r="M51" s="76"/>
      <c r="N51" s="76"/>
      <c r="O51" s="76"/>
      <c r="P51" s="76"/>
      <c r="Q51" s="76"/>
      <c r="R51" s="76"/>
      <c r="S51" s="76"/>
      <c r="T51" s="76"/>
    </row>
    <row r="53" spans="11:20" x14ac:dyDescent="0.3">
      <c r="K53" t="s">
        <v>345</v>
      </c>
    </row>
    <row r="54" spans="11:20" x14ac:dyDescent="0.3">
      <c r="K54" t="s">
        <v>346</v>
      </c>
    </row>
    <row r="56" spans="11:20" x14ac:dyDescent="0.3">
      <c r="K56" t="s">
        <v>347</v>
      </c>
    </row>
    <row r="57" spans="11:20" x14ac:dyDescent="0.3">
      <c r="L57" t="s">
        <v>348</v>
      </c>
    </row>
    <row r="58" spans="11:20" x14ac:dyDescent="0.3">
      <c r="L58" t="s">
        <v>349</v>
      </c>
    </row>
    <row r="59" spans="11:20" x14ac:dyDescent="0.3">
      <c r="L59" s="76" t="s">
        <v>350</v>
      </c>
      <c r="M59" s="76"/>
      <c r="N59" s="76"/>
      <c r="O59" s="76"/>
      <c r="P59" s="76"/>
      <c r="Q59" s="76"/>
      <c r="R59" s="76"/>
      <c r="S59" s="76"/>
      <c r="T59" s="76"/>
    </row>
    <row r="60" spans="11:20" x14ac:dyDescent="0.3">
      <c r="L60" s="76"/>
      <c r="M60" s="76"/>
      <c r="N60" s="76"/>
      <c r="O60" s="76"/>
      <c r="P60" s="76"/>
      <c r="Q60" s="76"/>
      <c r="R60" s="76"/>
      <c r="S60" s="76"/>
      <c r="T60" s="76"/>
    </row>
    <row r="66" spans="2:16" x14ac:dyDescent="0.3">
      <c r="B66" s="7" t="s">
        <v>41</v>
      </c>
      <c r="C66" s="7"/>
    </row>
    <row r="70" spans="2:16" x14ac:dyDescent="0.3">
      <c r="L70" s="4" t="s">
        <v>351</v>
      </c>
      <c r="M70" s="4"/>
      <c r="N70" s="4"/>
      <c r="O70" s="4"/>
    </row>
    <row r="71" spans="2:16" x14ac:dyDescent="0.3">
      <c r="L71" s="4" t="s">
        <v>352</v>
      </c>
      <c r="M71" s="4"/>
      <c r="N71" s="4"/>
      <c r="O71" s="4"/>
    </row>
    <row r="72" spans="2:16" x14ac:dyDescent="0.3">
      <c r="L72" s="4" t="s">
        <v>353</v>
      </c>
      <c r="M72" s="4"/>
      <c r="N72" s="4"/>
      <c r="O72" s="4"/>
    </row>
    <row r="73" spans="2:16" x14ac:dyDescent="0.3">
      <c r="L73" t="s">
        <v>354</v>
      </c>
    </row>
    <row r="74" spans="2:16" x14ac:dyDescent="0.3">
      <c r="L74" t="s">
        <v>355</v>
      </c>
    </row>
    <row r="75" spans="2:16" x14ac:dyDescent="0.3">
      <c r="L75" t="s">
        <v>356</v>
      </c>
      <c r="O75" s="83">
        <f>7%+1.6*8%</f>
        <v>0.19800000000000001</v>
      </c>
    </row>
    <row r="78" spans="2:16" x14ac:dyDescent="0.3">
      <c r="L78" t="s">
        <v>357</v>
      </c>
    </row>
    <row r="80" spans="2:16" x14ac:dyDescent="0.3">
      <c r="L80" t="s">
        <v>358</v>
      </c>
      <c r="P80" t="s">
        <v>361</v>
      </c>
    </row>
    <row r="81" spans="12:20" x14ac:dyDescent="0.3">
      <c r="L81" t="s">
        <v>359</v>
      </c>
      <c r="P81" t="s">
        <v>362</v>
      </c>
    </row>
    <row r="82" spans="12:20" x14ac:dyDescent="0.3">
      <c r="L82" t="s">
        <v>360</v>
      </c>
      <c r="P82" t="s">
        <v>363</v>
      </c>
    </row>
    <row r="84" spans="12:20" x14ac:dyDescent="0.3">
      <c r="L84" t="s">
        <v>364</v>
      </c>
    </row>
    <row r="85" spans="12:20" x14ac:dyDescent="0.3">
      <c r="L85" t="s">
        <v>365</v>
      </c>
    </row>
    <row r="87" spans="12:20" x14ac:dyDescent="0.3">
      <c r="L87" t="s">
        <v>366</v>
      </c>
    </row>
    <row r="88" spans="12:20" x14ac:dyDescent="0.3">
      <c r="L88" t="s">
        <v>367</v>
      </c>
    </row>
    <row r="89" spans="12:20" x14ac:dyDescent="0.3">
      <c r="L89" t="s">
        <v>368</v>
      </c>
      <c r="P89">
        <f>0.7*0.9+0.3*1.4</f>
        <v>1.05</v>
      </c>
    </row>
    <row r="90" spans="12:20" x14ac:dyDescent="0.3">
      <c r="L90" t="s">
        <v>369</v>
      </c>
    </row>
    <row r="91" spans="12:20" x14ac:dyDescent="0.3">
      <c r="L91" s="76" t="s">
        <v>350</v>
      </c>
      <c r="M91" s="76"/>
      <c r="N91" s="76"/>
      <c r="O91" s="76"/>
      <c r="P91" s="76"/>
      <c r="Q91" s="76"/>
      <c r="R91" s="76"/>
      <c r="S91" s="76"/>
      <c r="T91" s="76"/>
    </row>
    <row r="92" spans="12:20" x14ac:dyDescent="0.3">
      <c r="L92" s="76"/>
      <c r="M92" s="76"/>
      <c r="N92" s="76"/>
      <c r="O92" s="76"/>
      <c r="P92" s="76"/>
      <c r="Q92" s="76"/>
      <c r="R92" s="76"/>
      <c r="S92" s="76"/>
      <c r="T92" s="76"/>
    </row>
    <row r="94" spans="12:20" x14ac:dyDescent="0.3">
      <c r="L94" t="s">
        <v>370</v>
      </c>
      <c r="S94" s="83">
        <f xml:space="preserve"> 5%+1.05*7%</f>
        <v>0.12350000000000001</v>
      </c>
    </row>
    <row r="105" spans="10:10" x14ac:dyDescent="0.3">
      <c r="J105" t="s">
        <v>371</v>
      </c>
    </row>
    <row r="106" spans="10:10" x14ac:dyDescent="0.3">
      <c r="J106" t="s">
        <v>372</v>
      </c>
    </row>
    <row r="107" spans="10:10" x14ac:dyDescent="0.3">
      <c r="J107" t="s">
        <v>373</v>
      </c>
    </row>
    <row r="109" spans="10:10" x14ac:dyDescent="0.3">
      <c r="J109" t="s">
        <v>374</v>
      </c>
    </row>
    <row r="111" spans="10:10" x14ac:dyDescent="0.3">
      <c r="J111" t="s">
        <v>375</v>
      </c>
    </row>
    <row r="113" spans="10:17" x14ac:dyDescent="0.3">
      <c r="J113" t="s">
        <v>376</v>
      </c>
      <c r="Q113" s="83">
        <f>6%+1.3*12%</f>
        <v>0.216</v>
      </c>
    </row>
  </sheetData>
  <mergeCells count="4">
    <mergeCell ref="K36:S37"/>
    <mergeCell ref="K50:T51"/>
    <mergeCell ref="L59:T60"/>
    <mergeCell ref="L91:T9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1592-54B7-4521-B374-CBF9C35387DE}">
  <dimension ref="C4:S124"/>
  <sheetViews>
    <sheetView tabSelected="1" topLeftCell="A70" workbookViewId="0">
      <selection activeCell="I123" sqref="I123"/>
    </sheetView>
  </sheetViews>
  <sheetFormatPr defaultRowHeight="15.6" x14ac:dyDescent="0.3"/>
  <cols>
    <col min="3" max="3" width="8.19921875" customWidth="1"/>
    <col min="4" max="4" width="11.3984375" customWidth="1"/>
    <col min="5" max="5" width="11.59765625" customWidth="1"/>
    <col min="6" max="6" width="8.3984375" customWidth="1"/>
    <col min="7" max="7" width="13.8984375" customWidth="1"/>
    <col min="8" max="8" width="12.59765625" customWidth="1"/>
    <col min="11" max="11" width="10.8984375" customWidth="1"/>
    <col min="13" max="13" width="11.5" customWidth="1"/>
    <col min="14" max="14" width="15.09765625" customWidth="1"/>
  </cols>
  <sheetData>
    <row r="4" spans="3:8" x14ac:dyDescent="0.3">
      <c r="C4" t="s">
        <v>422</v>
      </c>
    </row>
    <row r="7" spans="3:8" x14ac:dyDescent="0.3">
      <c r="C7" s="68" t="s">
        <v>30</v>
      </c>
      <c r="D7" s="68"/>
      <c r="E7" s="68"/>
      <c r="F7" s="68" t="s">
        <v>31</v>
      </c>
      <c r="G7" s="68"/>
      <c r="H7" s="68"/>
    </row>
    <row r="8" spans="3:8" x14ac:dyDescent="0.3">
      <c r="C8" s="69" t="s">
        <v>28</v>
      </c>
      <c r="D8" s="69"/>
      <c r="E8" s="69"/>
      <c r="F8" s="69" t="s">
        <v>26</v>
      </c>
      <c r="G8" s="69"/>
      <c r="H8" s="69"/>
    </row>
    <row r="9" spans="3:8" x14ac:dyDescent="0.3">
      <c r="C9" s="69" t="s">
        <v>29</v>
      </c>
      <c r="D9" s="69"/>
      <c r="E9" s="69"/>
      <c r="F9" s="69" t="s">
        <v>27</v>
      </c>
      <c r="G9" s="69"/>
      <c r="H9" s="69"/>
    </row>
    <row r="10" spans="3:8" ht="15.6" customHeight="1" x14ac:dyDescent="0.3">
      <c r="C10" s="59"/>
      <c r="D10" s="96" t="s">
        <v>37</v>
      </c>
      <c r="E10" s="97"/>
      <c r="F10" s="59"/>
      <c r="G10" s="64" t="s">
        <v>34</v>
      </c>
      <c r="H10" s="65"/>
    </row>
    <row r="11" spans="3:8" x14ac:dyDescent="0.3">
      <c r="C11" s="60"/>
      <c r="D11" s="98"/>
      <c r="E11" s="99"/>
      <c r="F11" s="60"/>
      <c r="G11" s="66" t="s">
        <v>35</v>
      </c>
      <c r="H11" s="67"/>
    </row>
    <row r="12" spans="3:8" x14ac:dyDescent="0.3">
      <c r="C12" s="60"/>
      <c r="D12" s="98"/>
      <c r="E12" s="99"/>
      <c r="F12" s="60"/>
      <c r="G12" s="66" t="s">
        <v>36</v>
      </c>
      <c r="H12" s="67"/>
    </row>
    <row r="13" spans="3:8" x14ac:dyDescent="0.3">
      <c r="C13" s="61"/>
      <c r="D13" s="100"/>
      <c r="E13" s="101"/>
      <c r="F13" s="61"/>
      <c r="G13" s="62"/>
      <c r="H13" s="63"/>
    </row>
    <row r="14" spans="3:8" x14ac:dyDescent="0.3">
      <c r="C14" s="70" t="s">
        <v>33</v>
      </c>
      <c r="D14" s="70"/>
      <c r="E14" s="70"/>
      <c r="F14" s="70" t="s">
        <v>32</v>
      </c>
      <c r="G14" s="70"/>
      <c r="H14" s="70"/>
    </row>
    <row r="15" spans="3:8" ht="30" customHeight="1" x14ac:dyDescent="0.3">
      <c r="C15" s="70"/>
      <c r="D15" s="70"/>
      <c r="E15" s="70"/>
      <c r="F15" s="70"/>
      <c r="G15" s="70"/>
      <c r="H15" s="70"/>
    </row>
    <row r="17" spans="4:15" x14ac:dyDescent="0.3">
      <c r="D17" t="s">
        <v>423</v>
      </c>
      <c r="L17" s="1"/>
      <c r="M17" s="1"/>
    </row>
    <row r="18" spans="4:15" x14ac:dyDescent="0.3">
      <c r="L18" s="1"/>
      <c r="M18" s="1"/>
    </row>
    <row r="22" spans="4:15" x14ac:dyDescent="0.3">
      <c r="K22" t="s">
        <v>424</v>
      </c>
    </row>
    <row r="23" spans="4:15" x14ac:dyDescent="0.3">
      <c r="K23" t="s">
        <v>425</v>
      </c>
    </row>
    <row r="25" spans="4:15" x14ac:dyDescent="0.3">
      <c r="K25" t="s">
        <v>426</v>
      </c>
    </row>
    <row r="27" spans="4:15" x14ac:dyDescent="0.3">
      <c r="K27" t="s">
        <v>427</v>
      </c>
    </row>
    <row r="28" spans="4:15" x14ac:dyDescent="0.3">
      <c r="K28" t="s">
        <v>428</v>
      </c>
      <c r="N28">
        <f>42/12*100</f>
        <v>350</v>
      </c>
      <c r="O28" t="s">
        <v>429</v>
      </c>
    </row>
    <row r="30" spans="4:15" x14ac:dyDescent="0.3">
      <c r="K30" t="s">
        <v>430</v>
      </c>
    </row>
    <row r="31" spans="4:15" x14ac:dyDescent="0.3">
      <c r="K31" t="s">
        <v>431</v>
      </c>
    </row>
    <row r="32" spans="4:15" x14ac:dyDescent="0.3">
      <c r="K32" t="s">
        <v>432</v>
      </c>
    </row>
    <row r="33" spans="10:15" x14ac:dyDescent="0.3">
      <c r="K33" t="s">
        <v>433</v>
      </c>
      <c r="O33" s="1">
        <f>42/392</f>
        <v>0.10714285714285714</v>
      </c>
    </row>
    <row r="34" spans="10:15" x14ac:dyDescent="0.3">
      <c r="K34" t="s">
        <v>434</v>
      </c>
      <c r="O34" s="1">
        <f>350/392</f>
        <v>0.8928571428571429</v>
      </c>
    </row>
    <row r="42" spans="10:15" x14ac:dyDescent="0.3">
      <c r="J42" t="s">
        <v>435</v>
      </c>
    </row>
    <row r="43" spans="10:15" x14ac:dyDescent="0.3">
      <c r="J43" t="s">
        <v>436</v>
      </c>
    </row>
    <row r="45" spans="10:15" x14ac:dyDescent="0.3">
      <c r="J45" s="4" t="s">
        <v>437</v>
      </c>
      <c r="K45" s="4"/>
      <c r="L45" s="4"/>
      <c r="M45" s="4"/>
      <c r="N45" s="4"/>
      <c r="O45" s="4"/>
    </row>
    <row r="46" spans="10:15" x14ac:dyDescent="0.3">
      <c r="J46" s="4"/>
      <c r="K46" s="4"/>
      <c r="L46" s="4"/>
      <c r="M46" s="4"/>
      <c r="N46" s="4"/>
      <c r="O46" s="4"/>
    </row>
    <row r="47" spans="10:15" x14ac:dyDescent="0.3">
      <c r="J47" s="4" t="s">
        <v>438</v>
      </c>
    </row>
    <row r="49" spans="10:19" x14ac:dyDescent="0.3">
      <c r="J49" t="s">
        <v>439</v>
      </c>
    </row>
    <row r="50" spans="10:19" x14ac:dyDescent="0.3">
      <c r="J50" t="s">
        <v>440</v>
      </c>
    </row>
    <row r="51" spans="10:19" x14ac:dyDescent="0.3">
      <c r="J51" t="s">
        <v>441</v>
      </c>
    </row>
    <row r="52" spans="10:19" x14ac:dyDescent="0.3">
      <c r="J52" t="s">
        <v>442</v>
      </c>
    </row>
    <row r="53" spans="10:19" x14ac:dyDescent="0.3">
      <c r="J53" t="s">
        <v>443</v>
      </c>
    </row>
    <row r="54" spans="10:19" x14ac:dyDescent="0.3">
      <c r="J54" t="s">
        <v>444</v>
      </c>
    </row>
    <row r="56" spans="10:19" x14ac:dyDescent="0.3">
      <c r="J56" t="s">
        <v>445</v>
      </c>
    </row>
    <row r="58" spans="10:19" x14ac:dyDescent="0.3">
      <c r="J58" s="76" t="s">
        <v>446</v>
      </c>
      <c r="K58" s="76"/>
      <c r="L58" s="76"/>
      <c r="M58" s="76"/>
      <c r="N58" s="76"/>
      <c r="O58" s="76"/>
      <c r="P58" s="76"/>
      <c r="Q58" s="76"/>
      <c r="R58" s="76"/>
      <c r="S58" s="76"/>
    </row>
    <row r="59" spans="10:19" x14ac:dyDescent="0.3">
      <c r="J59" s="76"/>
      <c r="K59" s="76"/>
      <c r="L59" s="76"/>
      <c r="M59" s="76"/>
      <c r="N59" s="76"/>
      <c r="O59" s="76"/>
      <c r="P59" s="76"/>
      <c r="Q59" s="76"/>
      <c r="R59" s="76"/>
      <c r="S59" s="76"/>
    </row>
    <row r="60" spans="10:19" x14ac:dyDescent="0.3">
      <c r="J60" t="s">
        <v>447</v>
      </c>
    </row>
    <row r="72" spans="9:14" x14ac:dyDescent="0.3">
      <c r="I72" t="s">
        <v>448</v>
      </c>
    </row>
    <row r="73" spans="9:14" x14ac:dyDescent="0.3">
      <c r="I73" t="s">
        <v>449</v>
      </c>
    </row>
    <row r="74" spans="9:14" x14ac:dyDescent="0.3">
      <c r="I74" t="s">
        <v>450</v>
      </c>
    </row>
    <row r="75" spans="9:14" x14ac:dyDescent="0.3">
      <c r="I75" t="s">
        <v>451</v>
      </c>
    </row>
    <row r="76" spans="9:14" x14ac:dyDescent="0.3">
      <c r="I76" t="s">
        <v>452</v>
      </c>
    </row>
    <row r="78" spans="9:14" x14ac:dyDescent="0.3">
      <c r="I78" s="68" t="s">
        <v>30</v>
      </c>
      <c r="J78" s="68"/>
      <c r="K78" s="68"/>
      <c r="L78" s="68" t="s">
        <v>31</v>
      </c>
      <c r="M78" s="68"/>
      <c r="N78" s="68"/>
    </row>
    <row r="79" spans="9:14" x14ac:dyDescent="0.3">
      <c r="I79" s="69" t="s">
        <v>28</v>
      </c>
      <c r="J79" s="69"/>
      <c r="K79" s="69"/>
      <c r="L79" s="69" t="s">
        <v>26</v>
      </c>
      <c r="M79" s="69"/>
      <c r="N79" s="69"/>
    </row>
    <row r="80" spans="9:14" x14ac:dyDescent="0.3">
      <c r="I80" s="69" t="s">
        <v>29</v>
      </c>
      <c r="J80" s="69"/>
      <c r="K80" s="69"/>
      <c r="L80" s="69" t="s">
        <v>27</v>
      </c>
      <c r="M80" s="69"/>
      <c r="N80" s="69"/>
    </row>
    <row r="81" spans="9:14" x14ac:dyDescent="0.3">
      <c r="I81" s="59"/>
      <c r="J81" s="96" t="s">
        <v>37</v>
      </c>
      <c r="K81" s="97"/>
      <c r="L81" s="59"/>
      <c r="M81" s="64" t="s">
        <v>34</v>
      </c>
      <c r="N81" s="65"/>
    </row>
    <row r="82" spans="9:14" x14ac:dyDescent="0.3">
      <c r="I82" s="60"/>
      <c r="J82" s="98"/>
      <c r="K82" s="99"/>
      <c r="L82" s="60"/>
      <c r="M82" s="66" t="s">
        <v>35</v>
      </c>
      <c r="N82" s="67"/>
    </row>
    <row r="83" spans="9:14" x14ac:dyDescent="0.3">
      <c r="I83" s="60"/>
      <c r="J83" s="98"/>
      <c r="K83" s="99"/>
      <c r="L83" s="60"/>
      <c r="M83" s="66" t="s">
        <v>36</v>
      </c>
      <c r="N83" s="67"/>
    </row>
    <row r="84" spans="9:14" x14ac:dyDescent="0.3">
      <c r="I84" s="61"/>
      <c r="J84" s="100"/>
      <c r="K84" s="101"/>
      <c r="L84" s="61"/>
      <c r="M84" s="62"/>
      <c r="N84" s="63"/>
    </row>
    <row r="85" spans="9:14" x14ac:dyDescent="0.3">
      <c r="I85" s="70" t="s">
        <v>33</v>
      </c>
      <c r="J85" s="70"/>
      <c r="K85" s="70"/>
      <c r="L85" s="70" t="s">
        <v>32</v>
      </c>
      <c r="M85" s="70"/>
      <c r="N85" s="70"/>
    </row>
    <row r="86" spans="9:14" x14ac:dyDescent="0.3">
      <c r="I86" s="70"/>
      <c r="J86" s="70"/>
      <c r="K86" s="70"/>
      <c r="L86" s="70"/>
      <c r="M86" s="70"/>
      <c r="N86" s="70"/>
    </row>
    <row r="89" spans="9:14" x14ac:dyDescent="0.3">
      <c r="I89" s="68" t="s">
        <v>30</v>
      </c>
      <c r="J89" s="68"/>
      <c r="K89" s="68"/>
      <c r="L89" s="68" t="s">
        <v>31</v>
      </c>
      <c r="M89" s="68"/>
      <c r="N89" s="68"/>
    </row>
    <row r="90" spans="9:14" x14ac:dyDescent="0.3">
      <c r="I90" s="69" t="s">
        <v>453</v>
      </c>
      <c r="J90" s="69"/>
      <c r="K90" s="69"/>
      <c r="L90" s="69" t="s">
        <v>457</v>
      </c>
      <c r="M90" s="69"/>
      <c r="N90" s="69"/>
    </row>
    <row r="91" spans="9:14" x14ac:dyDescent="0.3">
      <c r="I91" s="69" t="s">
        <v>454</v>
      </c>
      <c r="J91" s="69"/>
      <c r="K91" s="69"/>
      <c r="L91" s="69" t="s">
        <v>460</v>
      </c>
      <c r="M91" s="69"/>
      <c r="N91" s="69"/>
    </row>
    <row r="92" spans="9:14" x14ac:dyDescent="0.3">
      <c r="I92" s="59"/>
      <c r="J92" s="96" t="s">
        <v>37</v>
      </c>
      <c r="K92" s="97"/>
      <c r="L92" s="59"/>
      <c r="M92" s="64" t="s">
        <v>34</v>
      </c>
      <c r="N92" s="65"/>
    </row>
    <row r="93" spans="9:14" x14ac:dyDescent="0.3">
      <c r="I93" s="60"/>
      <c r="J93" s="98"/>
      <c r="K93" s="99"/>
      <c r="L93" s="60"/>
      <c r="M93" s="66" t="s">
        <v>462</v>
      </c>
      <c r="N93" s="67"/>
    </row>
    <row r="94" spans="9:14" x14ac:dyDescent="0.3">
      <c r="I94" s="60"/>
      <c r="J94" s="98"/>
      <c r="K94" s="99"/>
      <c r="L94" s="60"/>
      <c r="M94" s="66" t="s">
        <v>458</v>
      </c>
      <c r="N94" s="67"/>
    </row>
    <row r="95" spans="9:14" x14ac:dyDescent="0.3">
      <c r="I95" s="61"/>
      <c r="J95" s="100"/>
      <c r="K95" s="101"/>
      <c r="L95" s="61"/>
      <c r="M95" s="62"/>
      <c r="N95" s="63"/>
    </row>
    <row r="96" spans="9:14" x14ac:dyDescent="0.3">
      <c r="I96" s="70" t="s">
        <v>455</v>
      </c>
      <c r="J96" s="70"/>
      <c r="K96" s="70"/>
      <c r="L96" s="70" t="s">
        <v>456</v>
      </c>
      <c r="M96" s="70"/>
      <c r="N96" s="70"/>
    </row>
    <row r="97" spans="9:14" x14ac:dyDescent="0.3">
      <c r="I97" s="70"/>
      <c r="J97" s="70"/>
      <c r="K97" s="70"/>
      <c r="L97" s="70"/>
      <c r="M97" s="70"/>
      <c r="N97" s="70"/>
    </row>
    <row r="99" spans="9:14" x14ac:dyDescent="0.3">
      <c r="I99" t="s">
        <v>459</v>
      </c>
    </row>
    <row r="100" spans="9:14" x14ac:dyDescent="0.3">
      <c r="I100" t="s">
        <v>461</v>
      </c>
    </row>
    <row r="103" spans="9:14" x14ac:dyDescent="0.3">
      <c r="I103" t="s">
        <v>463</v>
      </c>
    </row>
    <row r="105" spans="9:14" x14ac:dyDescent="0.3">
      <c r="I105" s="4" t="s">
        <v>464</v>
      </c>
    </row>
    <row r="107" spans="9:14" x14ac:dyDescent="0.3">
      <c r="I107" t="s">
        <v>474</v>
      </c>
    </row>
    <row r="108" spans="9:14" x14ac:dyDescent="0.3">
      <c r="I108" t="s">
        <v>465</v>
      </c>
    </row>
    <row r="110" spans="9:14" x14ac:dyDescent="0.3">
      <c r="I110" t="s">
        <v>466</v>
      </c>
    </row>
    <row r="111" spans="9:14" x14ac:dyDescent="0.3">
      <c r="I111" t="s">
        <v>467</v>
      </c>
    </row>
    <row r="112" spans="9:14" x14ac:dyDescent="0.3">
      <c r="I112" t="s">
        <v>468</v>
      </c>
    </row>
    <row r="114" spans="9:9" x14ac:dyDescent="0.3">
      <c r="I114" t="s">
        <v>469</v>
      </c>
    </row>
    <row r="116" spans="9:9" x14ac:dyDescent="0.3">
      <c r="I116" t="s">
        <v>470</v>
      </c>
    </row>
    <row r="117" spans="9:9" x14ac:dyDescent="0.3">
      <c r="I117" t="s">
        <v>471</v>
      </c>
    </row>
    <row r="118" spans="9:9" x14ac:dyDescent="0.3">
      <c r="I118" t="s">
        <v>472</v>
      </c>
    </row>
    <row r="120" spans="9:9" x14ac:dyDescent="0.3">
      <c r="I120" t="s">
        <v>473</v>
      </c>
    </row>
    <row r="122" spans="9:9" x14ac:dyDescent="0.3">
      <c r="I122" t="s">
        <v>475</v>
      </c>
    </row>
    <row r="124" spans="9:9" x14ac:dyDescent="0.3">
      <c r="I124" t="s">
        <v>461</v>
      </c>
    </row>
  </sheetData>
  <mergeCells count="46">
    <mergeCell ref="I96:K97"/>
    <mergeCell ref="L96:N97"/>
    <mergeCell ref="I91:K91"/>
    <mergeCell ref="L91:N91"/>
    <mergeCell ref="I92:I95"/>
    <mergeCell ref="J92:K95"/>
    <mergeCell ref="L92:L95"/>
    <mergeCell ref="M92:N92"/>
    <mergeCell ref="M93:N93"/>
    <mergeCell ref="M94:N94"/>
    <mergeCell ref="M95:N95"/>
    <mergeCell ref="I85:K86"/>
    <mergeCell ref="L85:N86"/>
    <mergeCell ref="I89:K89"/>
    <mergeCell ref="L89:N89"/>
    <mergeCell ref="I90:K90"/>
    <mergeCell ref="L90:N90"/>
    <mergeCell ref="I80:K80"/>
    <mergeCell ref="L80:N80"/>
    <mergeCell ref="I81:I84"/>
    <mergeCell ref="J81:K84"/>
    <mergeCell ref="L81:L84"/>
    <mergeCell ref="M81:N81"/>
    <mergeCell ref="M82:N82"/>
    <mergeCell ref="M83:N83"/>
    <mergeCell ref="M84:N84"/>
    <mergeCell ref="J58:S59"/>
    <mergeCell ref="I78:K78"/>
    <mergeCell ref="L78:N78"/>
    <mergeCell ref="I79:K79"/>
    <mergeCell ref="L79:N79"/>
    <mergeCell ref="C7:E7"/>
    <mergeCell ref="F7:H7"/>
    <mergeCell ref="C8:E8"/>
    <mergeCell ref="C9:E9"/>
    <mergeCell ref="F8:H8"/>
    <mergeCell ref="F9:H9"/>
    <mergeCell ref="C10:C13"/>
    <mergeCell ref="G13:H13"/>
    <mergeCell ref="C14:E15"/>
    <mergeCell ref="F14:H15"/>
    <mergeCell ref="D10:E13"/>
    <mergeCell ref="G10:H10"/>
    <mergeCell ref="G11:H11"/>
    <mergeCell ref="G12:H12"/>
    <mergeCell ref="F10:F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4415-EB3D-44B9-88B2-88A6D7C71AB9}">
  <dimension ref="B2:T50"/>
  <sheetViews>
    <sheetView topLeftCell="A28" workbookViewId="0">
      <selection activeCell="D50" sqref="D50"/>
    </sheetView>
  </sheetViews>
  <sheetFormatPr defaultRowHeight="15.6" x14ac:dyDescent="0.3"/>
  <sheetData>
    <row r="2" spans="2:2" x14ac:dyDescent="0.3">
      <c r="B2" t="s">
        <v>155</v>
      </c>
    </row>
    <row r="3" spans="2:2" x14ac:dyDescent="0.3">
      <c r="B3" t="s">
        <v>156</v>
      </c>
    </row>
    <row r="5" spans="2:2" x14ac:dyDescent="0.3">
      <c r="B5" t="s">
        <v>157</v>
      </c>
    </row>
    <row r="7" spans="2:2" x14ac:dyDescent="0.3">
      <c r="B7" t="s">
        <v>158</v>
      </c>
    </row>
    <row r="8" spans="2:2" x14ac:dyDescent="0.3">
      <c r="B8" t="s">
        <v>159</v>
      </c>
    </row>
    <row r="9" spans="2:2" x14ac:dyDescent="0.3">
      <c r="B9" t="s">
        <v>160</v>
      </c>
    </row>
    <row r="10" spans="2:2" x14ac:dyDescent="0.3">
      <c r="B10" t="s">
        <v>161</v>
      </c>
    </row>
    <row r="11" spans="2:2" x14ac:dyDescent="0.3">
      <c r="B11" t="s">
        <v>162</v>
      </c>
    </row>
    <row r="12" spans="2:2" x14ac:dyDescent="0.3">
      <c r="B12" s="9" t="s">
        <v>173</v>
      </c>
    </row>
    <row r="17" spans="12:20" x14ac:dyDescent="0.3">
      <c r="L17" t="s">
        <v>163</v>
      </c>
    </row>
    <row r="18" spans="12:20" x14ac:dyDescent="0.3">
      <c r="L18" t="s">
        <v>164</v>
      </c>
    </row>
    <row r="19" spans="12:20" x14ac:dyDescent="0.3">
      <c r="L19" t="s">
        <v>165</v>
      </c>
    </row>
    <row r="20" spans="12:20" x14ac:dyDescent="0.3">
      <c r="L20" t="s">
        <v>166</v>
      </c>
    </row>
    <row r="21" spans="12:20" x14ac:dyDescent="0.3">
      <c r="L21" t="s">
        <v>167</v>
      </c>
    </row>
    <row r="22" spans="12:20" x14ac:dyDescent="0.3">
      <c r="L22" t="s">
        <v>168</v>
      </c>
    </row>
    <row r="23" spans="12:20" x14ac:dyDescent="0.3">
      <c r="L23" t="s">
        <v>169</v>
      </c>
    </row>
    <row r="24" spans="12:20" x14ac:dyDescent="0.3">
      <c r="L24" t="s">
        <v>170</v>
      </c>
      <c r="P24">
        <f>1.3*0.09</f>
        <v>0.11699999999999999</v>
      </c>
      <c r="Q24" t="s">
        <v>171</v>
      </c>
    </row>
    <row r="25" spans="12:20" x14ac:dyDescent="0.3">
      <c r="L25" t="s">
        <v>172</v>
      </c>
      <c r="Q25" s="82">
        <f>P24/0.13</f>
        <v>0.89999999999999991</v>
      </c>
      <c r="R25" t="s">
        <v>171</v>
      </c>
    </row>
    <row r="27" spans="12:20" x14ac:dyDescent="0.3">
      <c r="L27" s="76" t="s">
        <v>180</v>
      </c>
      <c r="M27" s="76"/>
      <c r="N27" s="76"/>
      <c r="O27" s="76"/>
      <c r="P27" s="76"/>
      <c r="Q27" s="76"/>
      <c r="R27" s="76"/>
      <c r="S27" s="76"/>
      <c r="T27" s="76"/>
    </row>
    <row r="28" spans="12:20" x14ac:dyDescent="0.3">
      <c r="L28" s="76"/>
      <c r="M28" s="76"/>
      <c r="N28" s="76"/>
      <c r="O28" s="76"/>
      <c r="P28" s="76"/>
      <c r="Q28" s="76"/>
      <c r="R28" s="76"/>
      <c r="S28" s="76"/>
      <c r="T28" s="76"/>
    </row>
    <row r="33" spans="4:17" x14ac:dyDescent="0.3">
      <c r="K33" t="s">
        <v>174</v>
      </c>
    </row>
    <row r="34" spans="4:17" x14ac:dyDescent="0.3">
      <c r="K34" t="s">
        <v>178</v>
      </c>
    </row>
    <row r="35" spans="4:17" x14ac:dyDescent="0.3">
      <c r="K35" t="s">
        <v>167</v>
      </c>
    </row>
    <row r="37" spans="4:17" x14ac:dyDescent="0.3">
      <c r="K37" t="s">
        <v>175</v>
      </c>
    </row>
    <row r="38" spans="4:17" x14ac:dyDescent="0.3">
      <c r="K38" t="s">
        <v>176</v>
      </c>
      <c r="O38">
        <f>1.4*0.09</f>
        <v>0.126</v>
      </c>
      <c r="P38" t="s">
        <v>171</v>
      </c>
    </row>
    <row r="39" spans="4:17" x14ac:dyDescent="0.3">
      <c r="K39" t="s">
        <v>177</v>
      </c>
      <c r="P39" s="81">
        <f>O38/0.14</f>
        <v>0.89999999999999991</v>
      </c>
      <c r="Q39" t="s">
        <v>171</v>
      </c>
    </row>
    <row r="41" spans="4:17" x14ac:dyDescent="0.3">
      <c r="K41" t="s">
        <v>179</v>
      </c>
    </row>
    <row r="46" spans="4:17" x14ac:dyDescent="0.3">
      <c r="D46" t="s">
        <v>181</v>
      </c>
    </row>
    <row r="48" spans="4:17" x14ac:dyDescent="0.3">
      <c r="D48" t="s">
        <v>182</v>
      </c>
    </row>
    <row r="50" spans="4:4" x14ac:dyDescent="0.3">
      <c r="D50" t="s">
        <v>183</v>
      </c>
    </row>
  </sheetData>
  <mergeCells count="1">
    <mergeCell ref="L27:T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0A39-B45D-448C-B34E-E020F7F43CD8}">
  <dimension ref="C2:P84"/>
  <sheetViews>
    <sheetView topLeftCell="A64" workbookViewId="0">
      <selection activeCell="M86" sqref="M86"/>
    </sheetView>
  </sheetViews>
  <sheetFormatPr defaultRowHeight="15.6" x14ac:dyDescent="0.3"/>
  <sheetData>
    <row r="2" spans="3:11" x14ac:dyDescent="0.3">
      <c r="C2" t="s">
        <v>377</v>
      </c>
    </row>
    <row r="3" spans="3:11" x14ac:dyDescent="0.3">
      <c r="F3" t="s">
        <v>378</v>
      </c>
    </row>
    <row r="4" spans="3:11" x14ac:dyDescent="0.3">
      <c r="F4" t="s">
        <v>379</v>
      </c>
    </row>
    <row r="5" spans="3:11" x14ac:dyDescent="0.3">
      <c r="F5" t="s">
        <v>380</v>
      </c>
    </row>
    <row r="11" spans="3:11" x14ac:dyDescent="0.3">
      <c r="C11" s="7" t="s">
        <v>42</v>
      </c>
      <c r="D11" s="8"/>
      <c r="E11" s="8"/>
      <c r="F11" s="8"/>
      <c r="G11" s="8"/>
    </row>
    <row r="14" spans="3:11" x14ac:dyDescent="0.3">
      <c r="K14" t="s">
        <v>381</v>
      </c>
    </row>
    <row r="15" spans="3:11" x14ac:dyDescent="0.3">
      <c r="K15" t="s">
        <v>382</v>
      </c>
    </row>
    <row r="16" spans="3:11" x14ac:dyDescent="0.3">
      <c r="K16" t="s">
        <v>383</v>
      </c>
    </row>
    <row r="18" spans="11:16" x14ac:dyDescent="0.3">
      <c r="K18" t="s">
        <v>384</v>
      </c>
    </row>
    <row r="19" spans="11:16" x14ac:dyDescent="0.3">
      <c r="K19" s="4" t="s">
        <v>385</v>
      </c>
      <c r="L19" s="4"/>
      <c r="M19" s="4"/>
      <c r="N19" s="4"/>
      <c r="O19" s="4"/>
      <c r="P19" s="4"/>
    </row>
    <row r="21" spans="11:16" x14ac:dyDescent="0.3">
      <c r="K21" t="s">
        <v>386</v>
      </c>
    </row>
    <row r="22" spans="11:16" x14ac:dyDescent="0.3">
      <c r="K22" t="s">
        <v>387</v>
      </c>
    </row>
    <row r="23" spans="11:16" x14ac:dyDescent="0.3">
      <c r="K23" t="s">
        <v>388</v>
      </c>
    </row>
    <row r="25" spans="11:16" x14ac:dyDescent="0.3">
      <c r="K25" t="s">
        <v>389</v>
      </c>
    </row>
    <row r="26" spans="11:16" x14ac:dyDescent="0.3">
      <c r="K26" t="s">
        <v>390</v>
      </c>
    </row>
    <row r="28" spans="11:16" x14ac:dyDescent="0.3">
      <c r="K28" t="s">
        <v>391</v>
      </c>
    </row>
    <row r="29" spans="11:16" x14ac:dyDescent="0.3">
      <c r="K29" t="s">
        <v>392</v>
      </c>
    </row>
    <row r="34" spans="12:15" x14ac:dyDescent="0.3">
      <c r="L34" t="s">
        <v>393</v>
      </c>
    </row>
    <row r="35" spans="12:15" x14ac:dyDescent="0.3">
      <c r="L35" t="s">
        <v>394</v>
      </c>
    </row>
    <row r="36" spans="12:15" x14ac:dyDescent="0.3">
      <c r="L36" t="s">
        <v>395</v>
      </c>
    </row>
    <row r="37" spans="12:15" x14ac:dyDescent="0.3">
      <c r="L37" t="s">
        <v>396</v>
      </c>
    </row>
    <row r="38" spans="12:15" x14ac:dyDescent="0.3">
      <c r="L38" t="s">
        <v>397</v>
      </c>
    </row>
    <row r="39" spans="12:15" x14ac:dyDescent="0.3">
      <c r="L39" t="s">
        <v>398</v>
      </c>
    </row>
    <row r="40" spans="12:15" x14ac:dyDescent="0.3">
      <c r="L40" t="s">
        <v>383</v>
      </c>
    </row>
    <row r="41" spans="12:15" x14ac:dyDescent="0.3">
      <c r="L41" t="s">
        <v>399</v>
      </c>
    </row>
    <row r="42" spans="12:15" x14ac:dyDescent="0.3">
      <c r="L42" t="s">
        <v>400</v>
      </c>
    </row>
    <row r="43" spans="12:15" x14ac:dyDescent="0.3">
      <c r="L43" t="s">
        <v>401</v>
      </c>
    </row>
    <row r="44" spans="12:15" x14ac:dyDescent="0.3">
      <c r="L44" t="s">
        <v>402</v>
      </c>
    </row>
    <row r="45" spans="12:15" x14ac:dyDescent="0.3">
      <c r="L45" t="s">
        <v>384</v>
      </c>
    </row>
    <row r="46" spans="12:15" x14ac:dyDescent="0.3">
      <c r="L46" t="s">
        <v>403</v>
      </c>
      <c r="O46" s="95">
        <f>80/55</f>
        <v>1.4545454545454546</v>
      </c>
    </row>
    <row r="47" spans="12:15" x14ac:dyDescent="0.3">
      <c r="L47" t="s">
        <v>404</v>
      </c>
    </row>
    <row r="48" spans="12:15" x14ac:dyDescent="0.3">
      <c r="L48" t="s">
        <v>405</v>
      </c>
    </row>
    <row r="49" spans="12:16" x14ac:dyDescent="0.3">
      <c r="L49" t="s">
        <v>406</v>
      </c>
    </row>
    <row r="50" spans="12:16" x14ac:dyDescent="0.3">
      <c r="L50" t="s">
        <v>407</v>
      </c>
      <c r="O50">
        <f>55/40</f>
        <v>1.375</v>
      </c>
    </row>
    <row r="51" spans="12:16" x14ac:dyDescent="0.3">
      <c r="L51" t="s">
        <v>408</v>
      </c>
    </row>
    <row r="52" spans="12:16" x14ac:dyDescent="0.3">
      <c r="L52" t="s">
        <v>409</v>
      </c>
      <c r="P52" s="20">
        <f>O46*O50</f>
        <v>2</v>
      </c>
    </row>
    <row r="65" spans="10:14" x14ac:dyDescent="0.3">
      <c r="J65" t="s">
        <v>410</v>
      </c>
    </row>
    <row r="66" spans="10:14" x14ac:dyDescent="0.3">
      <c r="J66" t="s">
        <v>411</v>
      </c>
    </row>
    <row r="67" spans="10:14" x14ac:dyDescent="0.3">
      <c r="J67" t="s">
        <v>412</v>
      </c>
    </row>
    <row r="68" spans="10:14" x14ac:dyDescent="0.3">
      <c r="J68" s="3" t="s">
        <v>413</v>
      </c>
    </row>
    <row r="70" spans="10:14" x14ac:dyDescent="0.3">
      <c r="J70" t="s">
        <v>414</v>
      </c>
    </row>
    <row r="71" spans="10:14" x14ac:dyDescent="0.3">
      <c r="J71" t="s">
        <v>387</v>
      </c>
    </row>
    <row r="72" spans="10:14" x14ac:dyDescent="0.3">
      <c r="J72" t="s">
        <v>415</v>
      </c>
    </row>
    <row r="74" spans="10:14" x14ac:dyDescent="0.3">
      <c r="J74" t="s">
        <v>416</v>
      </c>
    </row>
    <row r="76" spans="10:14" x14ac:dyDescent="0.3">
      <c r="J76" t="s">
        <v>406</v>
      </c>
      <c r="N76" s="3" t="s">
        <v>417</v>
      </c>
    </row>
    <row r="78" spans="10:14" x14ac:dyDescent="0.3">
      <c r="J78" t="s">
        <v>418</v>
      </c>
    </row>
    <row r="80" spans="10:14" x14ac:dyDescent="0.3">
      <c r="J80" t="s">
        <v>419</v>
      </c>
    </row>
    <row r="82" spans="10:13" x14ac:dyDescent="0.3">
      <c r="J82" t="s">
        <v>420</v>
      </c>
      <c r="M82">
        <f>7.5/3</f>
        <v>2.5</v>
      </c>
    </row>
    <row r="84" spans="10:13" x14ac:dyDescent="0.3">
      <c r="J84" t="s">
        <v>421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KÖTVÉNY1</vt:lpstr>
      <vt:lpstr>részvény</vt:lpstr>
      <vt:lpstr>beruházás</vt:lpstr>
      <vt:lpstr>kockázat, CAPM</vt:lpstr>
      <vt:lpstr>mutatók</vt:lpstr>
      <vt:lpstr>adópajzs</vt:lpstr>
      <vt:lpstr>tőkeáttétel</vt:lpstr>
      <vt:lpstr>részvény!_Hlk118880513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B</dc:creator>
  <cp:lastModifiedBy>Viktor Ladocki</cp:lastModifiedBy>
  <dcterms:created xsi:type="dcterms:W3CDTF">2025-12-06T18:56:55Z</dcterms:created>
  <dcterms:modified xsi:type="dcterms:W3CDTF">2025-12-07T17:46:13Z</dcterms:modified>
</cp:coreProperties>
</file>